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nihovny\Dokumenty\SG - Kraslice\Opakovaná koncese\koncesní dokumentace\Svazek 2\Příloha č. 5\Zjednodušený finanční model\"/>
    </mc:Choice>
  </mc:AlternateContent>
  <xr:revisionPtr revIDLastSave="0" documentId="8_{00CC6394-AAFE-4771-BED9-CC30CF05EDD6}" xr6:coauthVersionLast="43" xr6:coauthVersionMax="43" xr10:uidLastSave="{00000000-0000-0000-0000-000000000000}"/>
  <workbookProtection workbookPassword="B65E" lockStructure="1"/>
  <bookViews>
    <workbookView xWindow="4980" yWindow="4980" windowWidth="28800" windowHeight="15555" tabRatio="751" activeTab="2" xr2:uid="{00000000-000D-0000-FFFF-FFFF00000000}"/>
  </bookViews>
  <sheets>
    <sheet name="Krycí list" sheetId="7" r:id="rId1"/>
    <sheet name="Postup" sheetId="4" r:id="rId2"/>
    <sheet name="Nabídka" sheetId="1" r:id="rId3"/>
    <sheet name="Provozování" sheetId="2" r:id="rId4"/>
    <sheet name="Kalkulace a Porovnání" sheetId="6" r:id="rId5"/>
    <sheet name="Tisk" sheetId="8" r:id="rId6"/>
    <sheet name="Legenda" sheetId="3" r:id="rId7"/>
    <sheet name="Výpočty" sheetId="5" r:id="rId8"/>
  </sheets>
  <externalReferences>
    <externalReference r:id="rId9"/>
    <externalReference r:id="rId10"/>
  </externalReferences>
  <definedNames>
    <definedName name="CZ_EN">[1]Slovnik!$C$1</definedName>
    <definedName name="jjjjj">[2]Slovník!$C$1</definedName>
    <definedName name="k">[2]Slovník!$C$4:$D$531</definedName>
    <definedName name="_xlnm.Print_Area" localSheetId="0">'Krycí list'!$A$1:$G$37</definedName>
    <definedName name="_xlnm.Print_Area" localSheetId="2">Nabídka!$A$1:$X$66</definedName>
    <definedName name="_xlnm.Print_Area" localSheetId="1">Postup!$A$1:$Q$76</definedName>
    <definedName name="_xlnm.Print_Area" localSheetId="5">Tisk!$A$1:$AC$770</definedName>
    <definedName name="Slovnik">[1]Slovnik!$C$4:$D$326</definedName>
  </definedNames>
  <calcPr calcId="181029" iterate="1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I62" i="2" l="1"/>
  <c r="BH62" i="2"/>
  <c r="BD62" i="2"/>
  <c r="BC62" i="2"/>
  <c r="AY62" i="2"/>
  <c r="AX62" i="2"/>
  <c r="AT62" i="2"/>
  <c r="AS62" i="2"/>
  <c r="AO62" i="2"/>
  <c r="AN62" i="2"/>
  <c r="AJ62" i="2"/>
  <c r="AI62" i="2"/>
  <c r="AE62" i="2"/>
  <c r="AD62" i="2"/>
  <c r="Z62" i="2"/>
  <c r="Y62" i="2"/>
  <c r="U62" i="2"/>
  <c r="T62" i="2"/>
  <c r="P62" i="2"/>
  <c r="O62" i="2"/>
  <c r="E63" i="2" l="1"/>
  <c r="F63" i="2"/>
  <c r="BI50" i="2"/>
  <c r="BI51" i="2"/>
  <c r="BI52" i="2"/>
  <c r="BI53" i="2"/>
  <c r="BI54" i="2"/>
  <c r="BI49" i="2"/>
  <c r="BI39" i="2"/>
  <c r="BI34" i="2"/>
  <c r="BI24" i="2"/>
  <c r="BD50" i="2"/>
  <c r="BD51" i="2"/>
  <c r="BD52" i="2"/>
  <c r="BD53" i="2"/>
  <c r="BD54" i="2"/>
  <c r="BD49" i="2"/>
  <c r="BD39" i="2"/>
  <c r="BD34" i="2"/>
  <c r="BD24" i="2"/>
  <c r="AY50" i="2"/>
  <c r="AY51" i="2"/>
  <c r="AY52" i="2"/>
  <c r="AY53" i="2"/>
  <c r="AY54" i="2"/>
  <c r="AY49" i="2"/>
  <c r="AY39" i="2"/>
  <c r="AY34" i="2"/>
  <c r="AY24" i="2"/>
  <c r="AT24" i="2"/>
  <c r="AT34" i="2"/>
  <c r="AT39" i="2"/>
  <c r="AT50" i="2"/>
  <c r="AT51" i="2"/>
  <c r="AT52" i="2"/>
  <c r="AT53" i="2"/>
  <c r="AT54" i="2"/>
  <c r="AT49" i="2"/>
  <c r="AO50" i="2"/>
  <c r="AO51" i="2"/>
  <c r="AO52" i="2"/>
  <c r="AO53" i="2"/>
  <c r="AO54" i="2"/>
  <c r="AO49" i="2"/>
  <c r="AO39" i="2"/>
  <c r="AO34" i="2"/>
  <c r="AO24" i="2"/>
  <c r="AJ50" i="2"/>
  <c r="AJ51" i="2"/>
  <c r="AJ52" i="2"/>
  <c r="AJ53" i="2"/>
  <c r="AJ54" i="2"/>
  <c r="AJ49" i="2"/>
  <c r="AJ39" i="2"/>
  <c r="AJ34" i="2"/>
  <c r="AJ24" i="2"/>
  <c r="AE50" i="2"/>
  <c r="AE51" i="2"/>
  <c r="AE52" i="2"/>
  <c r="AE53" i="2"/>
  <c r="AE54" i="2"/>
  <c r="AE49" i="2"/>
  <c r="AE39" i="2"/>
  <c r="AE34" i="2"/>
  <c r="AE24" i="2"/>
  <c r="Z50" i="2"/>
  <c r="Z51" i="2"/>
  <c r="Z52" i="2"/>
  <c r="Z53" i="2"/>
  <c r="Z54" i="2"/>
  <c r="Z49" i="2"/>
  <c r="Z39" i="2"/>
  <c r="Z34" i="2"/>
  <c r="Z24" i="2"/>
  <c r="U39" i="2"/>
  <c r="U34" i="2"/>
  <c r="U24" i="2"/>
  <c r="U50" i="2"/>
  <c r="U51" i="2"/>
  <c r="U52" i="2"/>
  <c r="U53" i="2"/>
  <c r="U54" i="2"/>
  <c r="U49" i="2"/>
  <c r="F62" i="2" l="1"/>
  <c r="E62" i="2"/>
  <c r="P24" i="2" l="1"/>
  <c r="T23" i="2"/>
  <c r="P49" i="2" l="1"/>
  <c r="AI63" i="2" l="1"/>
  <c r="AE63" i="2"/>
  <c r="AD63" i="2"/>
  <c r="U63" i="2"/>
  <c r="E31" i="2" l="1"/>
  <c r="H31" i="2"/>
  <c r="AS54" i="2" l="1"/>
  <c r="AS53" i="2"/>
  <c r="AX54" i="2"/>
  <c r="AX53" i="2"/>
  <c r="BC54" i="2"/>
  <c r="BC53" i="2"/>
  <c r="BH54" i="2"/>
  <c r="BH53" i="2"/>
  <c r="BH48" i="2"/>
  <c r="BH47" i="2"/>
  <c r="BH34" i="2"/>
  <c r="BH24" i="2"/>
  <c r="BH23" i="2"/>
  <c r="BC48" i="2"/>
  <c r="BC47" i="2"/>
  <c r="BC34" i="2"/>
  <c r="BC24" i="2"/>
  <c r="BC23" i="2"/>
  <c r="AX48" i="2"/>
  <c r="AX47" i="2"/>
  <c r="AX34" i="2"/>
  <c r="AX24" i="2"/>
  <c r="AX23" i="2"/>
  <c r="AS48" i="2"/>
  <c r="AS47" i="2"/>
  <c r="AS34" i="2"/>
  <c r="AS24" i="2"/>
  <c r="AS23" i="2"/>
  <c r="AN54" i="2"/>
  <c r="AN53" i="2"/>
  <c r="AN48" i="2"/>
  <c r="AN47" i="2"/>
  <c r="AN34" i="2"/>
  <c r="AN24" i="2"/>
  <c r="AN23" i="2"/>
  <c r="AI54" i="2"/>
  <c r="AI53" i="2"/>
  <c r="AI48" i="2"/>
  <c r="AI47" i="2"/>
  <c r="AI34" i="2"/>
  <c r="AI24" i="2"/>
  <c r="AI23" i="2"/>
  <c r="AD54" i="2"/>
  <c r="AD53" i="2"/>
  <c r="AD48" i="2"/>
  <c r="AD47" i="2"/>
  <c r="AD34" i="2"/>
  <c r="AD24" i="2"/>
  <c r="AD23" i="2"/>
  <c r="Y54" i="2"/>
  <c r="Y53" i="2"/>
  <c r="Y48" i="2"/>
  <c r="Y47" i="2"/>
  <c r="Y34" i="2"/>
  <c r="Y24" i="2"/>
  <c r="Y23" i="2"/>
  <c r="BI63" i="2"/>
  <c r="BH63" i="2"/>
  <c r="BD63" i="2"/>
  <c r="BC63" i="2"/>
  <c r="AY63" i="2"/>
  <c r="AX63" i="2"/>
  <c r="AT63" i="2"/>
  <c r="AS63" i="2"/>
  <c r="AO63" i="2"/>
  <c r="AN63" i="2"/>
  <c r="AJ63" i="2"/>
  <c r="Z63" i="2"/>
  <c r="Y63" i="2"/>
  <c r="T63" i="2"/>
  <c r="P63" i="2"/>
  <c r="O63" i="2"/>
  <c r="E22" i="6" l="1"/>
  <c r="T53" i="2"/>
  <c r="T54" i="2"/>
  <c r="T48" i="2"/>
  <c r="T47" i="2"/>
  <c r="T34" i="2"/>
  <c r="T24" i="2"/>
  <c r="O54" i="2"/>
  <c r="O53" i="2"/>
  <c r="O48" i="2"/>
  <c r="O47" i="2"/>
  <c r="P50" i="2"/>
  <c r="P51" i="2"/>
  <c r="P52" i="2"/>
  <c r="P53" i="2"/>
  <c r="P54" i="2"/>
  <c r="P39" i="2"/>
  <c r="O34" i="2"/>
  <c r="P34" i="2"/>
  <c r="O24" i="2"/>
  <c r="O23" i="2"/>
  <c r="E34" i="2" l="1"/>
  <c r="E23" i="2"/>
  <c r="E24" i="2"/>
  <c r="E97" i="2" l="1"/>
  <c r="AG42" i="6" s="1"/>
  <c r="V63" i="2"/>
  <c r="W63" i="2"/>
  <c r="AA63" i="2"/>
  <c r="V66" i="2"/>
  <c r="V65" i="2" s="1"/>
  <c r="W66" i="2"/>
  <c r="W65" i="2" s="1"/>
  <c r="AA66" i="2"/>
  <c r="AA65" i="2" s="1"/>
  <c r="V68" i="2"/>
  <c r="V67" i="2" s="1"/>
  <c r="W68" i="2"/>
  <c r="W67" i="2" s="1"/>
  <c r="AA68" i="2"/>
  <c r="AA67" i="2" s="1"/>
  <c r="V69" i="2"/>
  <c r="W69" i="2"/>
  <c r="AA69" i="2"/>
  <c r="AA64" i="2" l="1"/>
  <c r="W64" i="2"/>
  <c r="V64" i="2"/>
  <c r="J34" i="2" l="1"/>
  <c r="I34" i="2"/>
  <c r="I31" i="5"/>
  <c r="H31" i="5"/>
  <c r="P97" i="2" l="1"/>
  <c r="AH112" i="6" s="1"/>
  <c r="O97" i="2"/>
  <c r="AG112" i="6" s="1"/>
  <c r="F97" i="2"/>
  <c r="AH42" i="6" s="1"/>
  <c r="F11" i="2"/>
  <c r="I11" i="2" s="1"/>
  <c r="L11" i="2" s="1"/>
  <c r="O11" i="2" s="1"/>
  <c r="R11" i="2" s="1"/>
  <c r="U11" i="2" s="1"/>
  <c r="X11" i="2" s="1"/>
  <c r="AA11" i="2" s="1"/>
  <c r="AD11" i="2" s="1"/>
  <c r="AG11" i="2" s="1"/>
  <c r="E13" i="2"/>
  <c r="F13" i="2" s="1"/>
  <c r="G13" i="2"/>
  <c r="H13" i="2"/>
  <c r="J13" i="2"/>
  <c r="K13" i="2"/>
  <c r="M13" i="2"/>
  <c r="N13" i="2"/>
  <c r="P13" i="2"/>
  <c r="Q13" i="2"/>
  <c r="S13" i="2"/>
  <c r="T13" i="2"/>
  <c r="V13" i="2"/>
  <c r="W13" i="2"/>
  <c r="Y13" i="2"/>
  <c r="Z13" i="2"/>
  <c r="AB13" i="2"/>
  <c r="AC13" i="2"/>
  <c r="AE13" i="2"/>
  <c r="AF13" i="2"/>
  <c r="B44" i="5"/>
  <c r="I13" i="2" l="1"/>
  <c r="L13" i="2" s="1"/>
  <c r="O13" i="2" s="1"/>
  <c r="R13" i="2" s="1"/>
  <c r="U13" i="2" s="1"/>
  <c r="X13" i="2" s="1"/>
  <c r="AA13" i="2" s="1"/>
  <c r="AD13" i="2" s="1"/>
  <c r="AG13" i="2" s="1"/>
  <c r="K62" i="1"/>
  <c r="J62" i="1"/>
  <c r="AB770" i="8" l="1"/>
  <c r="AA770" i="8"/>
  <c r="Z770" i="8"/>
  <c r="Y770" i="8"/>
  <c r="W770" i="8"/>
  <c r="W768" i="8"/>
  <c r="C766" i="8"/>
  <c r="L766" i="8" s="1"/>
  <c r="AB762" i="8"/>
  <c r="AA762" i="8"/>
  <c r="Z762" i="8"/>
  <c r="Y762" i="8"/>
  <c r="Q762" i="8"/>
  <c r="P762" i="8"/>
  <c r="H762" i="8"/>
  <c r="G762" i="8"/>
  <c r="AA760" i="8"/>
  <c r="Y760" i="8"/>
  <c r="Z752" i="8"/>
  <c r="W752" i="8"/>
  <c r="P752" i="8"/>
  <c r="N752" i="8"/>
  <c r="G752" i="8"/>
  <c r="E752" i="8"/>
  <c r="Z751" i="8"/>
  <c r="W751" i="8"/>
  <c r="P751" i="8"/>
  <c r="N751" i="8"/>
  <c r="G751" i="8"/>
  <c r="E751" i="8"/>
  <c r="Z750" i="8"/>
  <c r="Y750" i="8"/>
  <c r="X750" i="8"/>
  <c r="W750" i="8"/>
  <c r="P750" i="8"/>
  <c r="O750" i="8"/>
  <c r="N750" i="8"/>
  <c r="G750" i="8"/>
  <c r="F750" i="8"/>
  <c r="E750" i="8"/>
  <c r="Z749" i="8"/>
  <c r="Y749" i="8"/>
  <c r="X749" i="8"/>
  <c r="W749" i="8"/>
  <c r="P749" i="8"/>
  <c r="O749" i="8"/>
  <c r="N749" i="8"/>
  <c r="G749" i="8"/>
  <c r="F749" i="8"/>
  <c r="E749" i="8"/>
  <c r="Z748" i="8"/>
  <c r="Y748" i="8"/>
  <c r="X748" i="8"/>
  <c r="W748" i="8"/>
  <c r="P748" i="8"/>
  <c r="O748" i="8"/>
  <c r="N748" i="8"/>
  <c r="G748" i="8"/>
  <c r="F748" i="8"/>
  <c r="E748" i="8"/>
  <c r="Z747" i="8"/>
  <c r="Y747" i="8"/>
  <c r="X747" i="8"/>
  <c r="W747" i="8"/>
  <c r="P747" i="8"/>
  <c r="O747" i="8"/>
  <c r="N747" i="8"/>
  <c r="G747" i="8"/>
  <c r="F747" i="8"/>
  <c r="E747" i="8"/>
  <c r="AB746" i="8"/>
  <c r="AA746" i="8"/>
  <c r="Z746" i="8"/>
  <c r="W746" i="8"/>
  <c r="Q746" i="8"/>
  <c r="P746" i="8"/>
  <c r="N746" i="8"/>
  <c r="H746" i="8"/>
  <c r="G746" i="8"/>
  <c r="E746" i="8"/>
  <c r="AB745" i="8"/>
  <c r="AA745" i="8"/>
  <c r="Z745" i="8"/>
  <c r="W745" i="8"/>
  <c r="Q745" i="8"/>
  <c r="P745" i="8"/>
  <c r="N745" i="8"/>
  <c r="H745" i="8"/>
  <c r="G745" i="8"/>
  <c r="E745" i="8"/>
  <c r="Z744" i="8"/>
  <c r="W744" i="8"/>
  <c r="P744" i="8"/>
  <c r="N744" i="8"/>
  <c r="G744" i="8"/>
  <c r="E744" i="8"/>
  <c r="Z743" i="8"/>
  <c r="W743" i="8"/>
  <c r="P743" i="8"/>
  <c r="N743" i="8"/>
  <c r="G743" i="8"/>
  <c r="E743" i="8"/>
  <c r="Z742" i="8"/>
  <c r="W742" i="8"/>
  <c r="P742" i="8"/>
  <c r="N742" i="8"/>
  <c r="G742" i="8"/>
  <c r="E742" i="8"/>
  <c r="Z740" i="8"/>
  <c r="W740" i="8"/>
  <c r="P740" i="8"/>
  <c r="N740" i="8"/>
  <c r="G740" i="8"/>
  <c r="E740" i="8"/>
  <c r="Z739" i="8"/>
  <c r="W739" i="8"/>
  <c r="P739" i="8"/>
  <c r="N739" i="8"/>
  <c r="G739" i="8"/>
  <c r="E739" i="8"/>
  <c r="Z738" i="8"/>
  <c r="W738" i="8"/>
  <c r="P738" i="8"/>
  <c r="N738" i="8"/>
  <c r="G738" i="8"/>
  <c r="E738" i="8"/>
  <c r="Z737" i="8"/>
  <c r="W737" i="8"/>
  <c r="P737" i="8"/>
  <c r="N737" i="8"/>
  <c r="G737" i="8"/>
  <c r="E737" i="8"/>
  <c r="Z736" i="8"/>
  <c r="W736" i="8"/>
  <c r="P736" i="8"/>
  <c r="N736" i="8"/>
  <c r="G736" i="8"/>
  <c r="E736" i="8"/>
  <c r="Z735" i="8"/>
  <c r="W735" i="8"/>
  <c r="P735" i="8"/>
  <c r="N735" i="8"/>
  <c r="G735" i="8"/>
  <c r="E735" i="8"/>
  <c r="Z734" i="8"/>
  <c r="Y734" i="8"/>
  <c r="X734" i="8"/>
  <c r="W734" i="8"/>
  <c r="P734" i="8"/>
  <c r="O734" i="8"/>
  <c r="N734" i="8"/>
  <c r="G734" i="8"/>
  <c r="F734" i="8"/>
  <c r="E734" i="8"/>
  <c r="AB732" i="8"/>
  <c r="AA732" i="8"/>
  <c r="Z732" i="8"/>
  <c r="Y732" i="8"/>
  <c r="X732" i="8"/>
  <c r="W732" i="8"/>
  <c r="Q732" i="8"/>
  <c r="P732" i="8"/>
  <c r="O732" i="8"/>
  <c r="N732" i="8"/>
  <c r="H732" i="8"/>
  <c r="G732" i="8"/>
  <c r="F732" i="8"/>
  <c r="E732" i="8"/>
  <c r="Z731" i="8"/>
  <c r="W731" i="8"/>
  <c r="P731" i="8"/>
  <c r="N731" i="8"/>
  <c r="G731" i="8"/>
  <c r="E731" i="8"/>
  <c r="Z730" i="8"/>
  <c r="W730" i="8"/>
  <c r="P730" i="8"/>
  <c r="N730" i="8"/>
  <c r="G730" i="8"/>
  <c r="E730" i="8"/>
  <c r="Z729" i="8"/>
  <c r="W729" i="8"/>
  <c r="P729" i="8"/>
  <c r="N729" i="8"/>
  <c r="G729" i="8"/>
  <c r="E729" i="8"/>
  <c r="Z727" i="8"/>
  <c r="W727" i="8"/>
  <c r="P727" i="8"/>
  <c r="N727" i="8"/>
  <c r="G727" i="8"/>
  <c r="E727" i="8"/>
  <c r="Z726" i="8"/>
  <c r="W726" i="8"/>
  <c r="P726" i="8"/>
  <c r="N726" i="8"/>
  <c r="G726" i="8"/>
  <c r="E726" i="8"/>
  <c r="Z724" i="8"/>
  <c r="W724" i="8"/>
  <c r="P724" i="8"/>
  <c r="N724" i="8"/>
  <c r="G724" i="8"/>
  <c r="E724" i="8"/>
  <c r="Z723" i="8"/>
  <c r="W723" i="8"/>
  <c r="P723" i="8"/>
  <c r="N723" i="8"/>
  <c r="G723" i="8"/>
  <c r="E723" i="8"/>
  <c r="Z721" i="8"/>
  <c r="W721" i="8"/>
  <c r="P721" i="8"/>
  <c r="N721" i="8"/>
  <c r="G721" i="8"/>
  <c r="E721" i="8"/>
  <c r="Z720" i="8"/>
  <c r="W720" i="8"/>
  <c r="P720" i="8"/>
  <c r="N720" i="8"/>
  <c r="G720" i="8"/>
  <c r="E720" i="8"/>
  <c r="Z719" i="8"/>
  <c r="W719" i="8"/>
  <c r="P719" i="8"/>
  <c r="N719" i="8"/>
  <c r="G719" i="8"/>
  <c r="E719" i="8"/>
  <c r="AB718" i="8"/>
  <c r="AA718" i="8"/>
  <c r="Z718" i="8"/>
  <c r="W718" i="8"/>
  <c r="Q718" i="8"/>
  <c r="P718" i="8"/>
  <c r="N718" i="8"/>
  <c r="H718" i="8"/>
  <c r="G718" i="8"/>
  <c r="E718" i="8"/>
  <c r="AB700" i="8"/>
  <c r="AA700" i="8"/>
  <c r="Z700" i="8"/>
  <c r="Y700" i="8"/>
  <c r="W700" i="8"/>
  <c r="W698" i="8"/>
  <c r="C696" i="8"/>
  <c r="L696" i="8" s="1"/>
  <c r="AB692" i="8"/>
  <c r="AA692" i="8"/>
  <c r="Z692" i="8"/>
  <c r="Y692" i="8"/>
  <c r="Q692" i="8"/>
  <c r="P692" i="8"/>
  <c r="H692" i="8"/>
  <c r="G692" i="8"/>
  <c r="AA690" i="8"/>
  <c r="Y690" i="8"/>
  <c r="Z682" i="8"/>
  <c r="W682" i="8"/>
  <c r="P682" i="8"/>
  <c r="N682" i="8"/>
  <c r="G682" i="8"/>
  <c r="E682" i="8"/>
  <c r="Z681" i="8"/>
  <c r="W681" i="8"/>
  <c r="P681" i="8"/>
  <c r="N681" i="8"/>
  <c r="G681" i="8"/>
  <c r="E681" i="8"/>
  <c r="Z680" i="8"/>
  <c r="Y680" i="8"/>
  <c r="X680" i="8"/>
  <c r="W680" i="8"/>
  <c r="P680" i="8"/>
  <c r="O680" i="8"/>
  <c r="N680" i="8"/>
  <c r="G680" i="8"/>
  <c r="F680" i="8"/>
  <c r="E680" i="8"/>
  <c r="Z679" i="8"/>
  <c r="Y679" i="8"/>
  <c r="X679" i="8"/>
  <c r="W679" i="8"/>
  <c r="P679" i="8"/>
  <c r="O679" i="8"/>
  <c r="N679" i="8"/>
  <c r="G679" i="8"/>
  <c r="F679" i="8"/>
  <c r="E679" i="8"/>
  <c r="Z678" i="8"/>
  <c r="Y678" i="8"/>
  <c r="X678" i="8"/>
  <c r="W678" i="8"/>
  <c r="P678" i="8"/>
  <c r="O678" i="8"/>
  <c r="N678" i="8"/>
  <c r="G678" i="8"/>
  <c r="F678" i="8"/>
  <c r="E678" i="8"/>
  <c r="Z677" i="8"/>
  <c r="Y677" i="8"/>
  <c r="X677" i="8"/>
  <c r="W677" i="8"/>
  <c r="P677" i="8"/>
  <c r="O677" i="8"/>
  <c r="N677" i="8"/>
  <c r="G677" i="8"/>
  <c r="F677" i="8"/>
  <c r="E677" i="8"/>
  <c r="AB676" i="8"/>
  <c r="AA676" i="8"/>
  <c r="Z676" i="8"/>
  <c r="W676" i="8"/>
  <c r="Q676" i="8"/>
  <c r="P676" i="8"/>
  <c r="N676" i="8"/>
  <c r="H676" i="8"/>
  <c r="G676" i="8"/>
  <c r="E676" i="8"/>
  <c r="AB675" i="8"/>
  <c r="AA675" i="8"/>
  <c r="Z675" i="8"/>
  <c r="W675" i="8"/>
  <c r="Q675" i="8"/>
  <c r="P675" i="8"/>
  <c r="N675" i="8"/>
  <c r="H675" i="8"/>
  <c r="G675" i="8"/>
  <c r="E675" i="8"/>
  <c r="Z674" i="8"/>
  <c r="W674" i="8"/>
  <c r="P674" i="8"/>
  <c r="N674" i="8"/>
  <c r="G674" i="8"/>
  <c r="E674" i="8"/>
  <c r="Z673" i="8"/>
  <c r="W673" i="8"/>
  <c r="P673" i="8"/>
  <c r="N673" i="8"/>
  <c r="G673" i="8"/>
  <c r="E673" i="8"/>
  <c r="Z672" i="8"/>
  <c r="W672" i="8"/>
  <c r="P672" i="8"/>
  <c r="N672" i="8"/>
  <c r="G672" i="8"/>
  <c r="E672" i="8"/>
  <c r="Z670" i="8"/>
  <c r="W670" i="8"/>
  <c r="P670" i="8"/>
  <c r="N670" i="8"/>
  <c r="G670" i="8"/>
  <c r="E670" i="8"/>
  <c r="Z669" i="8"/>
  <c r="W669" i="8"/>
  <c r="P669" i="8"/>
  <c r="N669" i="8"/>
  <c r="G669" i="8"/>
  <c r="E669" i="8"/>
  <c r="Z668" i="8"/>
  <c r="W668" i="8"/>
  <c r="P668" i="8"/>
  <c r="N668" i="8"/>
  <c r="G668" i="8"/>
  <c r="E668" i="8"/>
  <c r="Z667" i="8"/>
  <c r="W667" i="8"/>
  <c r="P667" i="8"/>
  <c r="N667" i="8"/>
  <c r="G667" i="8"/>
  <c r="E667" i="8"/>
  <c r="Z666" i="8"/>
  <c r="W666" i="8"/>
  <c r="P666" i="8"/>
  <c r="N666" i="8"/>
  <c r="G666" i="8"/>
  <c r="E666" i="8"/>
  <c r="Z665" i="8"/>
  <c r="W665" i="8"/>
  <c r="P665" i="8"/>
  <c r="N665" i="8"/>
  <c r="G665" i="8"/>
  <c r="E665" i="8"/>
  <c r="Z664" i="8"/>
  <c r="Y664" i="8"/>
  <c r="X664" i="8"/>
  <c r="W664" i="8"/>
  <c r="P664" i="8"/>
  <c r="O664" i="8"/>
  <c r="N664" i="8"/>
  <c r="G664" i="8"/>
  <c r="F664" i="8"/>
  <c r="E664" i="8"/>
  <c r="AB662" i="8"/>
  <c r="AA662" i="8"/>
  <c r="Z662" i="8"/>
  <c r="Y662" i="8"/>
  <c r="X662" i="8"/>
  <c r="W662" i="8"/>
  <c r="Q662" i="8"/>
  <c r="P662" i="8"/>
  <c r="O662" i="8"/>
  <c r="N662" i="8"/>
  <c r="H662" i="8"/>
  <c r="G662" i="8"/>
  <c r="F662" i="8"/>
  <c r="E662" i="8"/>
  <c r="Z661" i="8"/>
  <c r="W661" i="8"/>
  <c r="P661" i="8"/>
  <c r="N661" i="8"/>
  <c r="G661" i="8"/>
  <c r="E661" i="8"/>
  <c r="Z660" i="8"/>
  <c r="W660" i="8"/>
  <c r="P660" i="8"/>
  <c r="N660" i="8"/>
  <c r="G660" i="8"/>
  <c r="E660" i="8"/>
  <c r="Z659" i="8"/>
  <c r="W659" i="8"/>
  <c r="P659" i="8"/>
  <c r="N659" i="8"/>
  <c r="G659" i="8"/>
  <c r="E659" i="8"/>
  <c r="Z657" i="8"/>
  <c r="W657" i="8"/>
  <c r="P657" i="8"/>
  <c r="N657" i="8"/>
  <c r="G657" i="8"/>
  <c r="E657" i="8"/>
  <c r="Z656" i="8"/>
  <c r="W656" i="8"/>
  <c r="P656" i="8"/>
  <c r="N656" i="8"/>
  <c r="G656" i="8"/>
  <c r="E656" i="8"/>
  <c r="Z654" i="8"/>
  <c r="W654" i="8"/>
  <c r="P654" i="8"/>
  <c r="N654" i="8"/>
  <c r="G654" i="8"/>
  <c r="E654" i="8"/>
  <c r="Z653" i="8"/>
  <c r="W653" i="8"/>
  <c r="P653" i="8"/>
  <c r="N653" i="8"/>
  <c r="G653" i="8"/>
  <c r="E653" i="8"/>
  <c r="Z651" i="8"/>
  <c r="W651" i="8"/>
  <c r="P651" i="8"/>
  <c r="N651" i="8"/>
  <c r="G651" i="8"/>
  <c r="E651" i="8"/>
  <c r="Z650" i="8"/>
  <c r="W650" i="8"/>
  <c r="P650" i="8"/>
  <c r="N650" i="8"/>
  <c r="G650" i="8"/>
  <c r="E650" i="8"/>
  <c r="Z649" i="8"/>
  <c r="W649" i="8"/>
  <c r="P649" i="8"/>
  <c r="N649" i="8"/>
  <c r="G649" i="8"/>
  <c r="E649" i="8"/>
  <c r="AB648" i="8"/>
  <c r="AA648" i="8"/>
  <c r="Z648" i="8"/>
  <c r="W648" i="8"/>
  <c r="Q648" i="8"/>
  <c r="P648" i="8"/>
  <c r="N648" i="8"/>
  <c r="H648" i="8"/>
  <c r="G648" i="8"/>
  <c r="E648" i="8"/>
  <c r="AB630" i="8"/>
  <c r="AA630" i="8"/>
  <c r="Z630" i="8"/>
  <c r="Y630" i="8"/>
  <c r="W630" i="8"/>
  <c r="W628" i="8"/>
  <c r="C626" i="8"/>
  <c r="L626" i="8" s="1"/>
  <c r="AB622" i="8"/>
  <c r="AA622" i="8"/>
  <c r="Z622" i="8"/>
  <c r="Y622" i="8"/>
  <c r="Q622" i="8"/>
  <c r="P622" i="8"/>
  <c r="H622" i="8"/>
  <c r="G622" i="8"/>
  <c r="AA620" i="8"/>
  <c r="Y620" i="8"/>
  <c r="Z612" i="8"/>
  <c r="W612" i="8"/>
  <c r="P612" i="8"/>
  <c r="N612" i="8"/>
  <c r="G612" i="8"/>
  <c r="E612" i="8"/>
  <c r="Z611" i="8"/>
  <c r="W611" i="8"/>
  <c r="P611" i="8"/>
  <c r="N611" i="8"/>
  <c r="G611" i="8"/>
  <c r="E611" i="8"/>
  <c r="Z610" i="8"/>
  <c r="Y610" i="8"/>
  <c r="X610" i="8"/>
  <c r="W610" i="8"/>
  <c r="P610" i="8"/>
  <c r="O610" i="8"/>
  <c r="N610" i="8"/>
  <c r="G610" i="8"/>
  <c r="F610" i="8"/>
  <c r="E610" i="8"/>
  <c r="Z609" i="8"/>
  <c r="Y609" i="8"/>
  <c r="X609" i="8"/>
  <c r="W609" i="8"/>
  <c r="P609" i="8"/>
  <c r="O609" i="8"/>
  <c r="N609" i="8"/>
  <c r="G609" i="8"/>
  <c r="F609" i="8"/>
  <c r="E609" i="8"/>
  <c r="Z608" i="8"/>
  <c r="Y608" i="8"/>
  <c r="X608" i="8"/>
  <c r="W608" i="8"/>
  <c r="P608" i="8"/>
  <c r="O608" i="8"/>
  <c r="N608" i="8"/>
  <c r="G608" i="8"/>
  <c r="F608" i="8"/>
  <c r="E608" i="8"/>
  <c r="Z607" i="8"/>
  <c r="Y607" i="8"/>
  <c r="X607" i="8"/>
  <c r="W607" i="8"/>
  <c r="P607" i="8"/>
  <c r="O607" i="8"/>
  <c r="N607" i="8"/>
  <c r="G607" i="8"/>
  <c r="F607" i="8"/>
  <c r="E607" i="8"/>
  <c r="AB606" i="8"/>
  <c r="AA606" i="8"/>
  <c r="Z606" i="8"/>
  <c r="W606" i="8"/>
  <c r="Q606" i="8"/>
  <c r="P606" i="8"/>
  <c r="N606" i="8"/>
  <c r="H606" i="8"/>
  <c r="G606" i="8"/>
  <c r="E606" i="8"/>
  <c r="AB605" i="8"/>
  <c r="AA605" i="8"/>
  <c r="Z605" i="8"/>
  <c r="W605" i="8"/>
  <c r="Q605" i="8"/>
  <c r="P605" i="8"/>
  <c r="N605" i="8"/>
  <c r="H605" i="8"/>
  <c r="G605" i="8"/>
  <c r="E605" i="8"/>
  <c r="Z604" i="8"/>
  <c r="W604" i="8"/>
  <c r="P604" i="8"/>
  <c r="N604" i="8"/>
  <c r="G604" i="8"/>
  <c r="E604" i="8"/>
  <c r="Z603" i="8"/>
  <c r="W603" i="8"/>
  <c r="P603" i="8"/>
  <c r="N603" i="8"/>
  <c r="G603" i="8"/>
  <c r="E603" i="8"/>
  <c r="Z602" i="8"/>
  <c r="W602" i="8"/>
  <c r="P602" i="8"/>
  <c r="N602" i="8"/>
  <c r="G602" i="8"/>
  <c r="E602" i="8"/>
  <c r="Z600" i="8"/>
  <c r="W600" i="8"/>
  <c r="P600" i="8"/>
  <c r="N600" i="8"/>
  <c r="G600" i="8"/>
  <c r="E600" i="8"/>
  <c r="Z599" i="8"/>
  <c r="W599" i="8"/>
  <c r="P599" i="8"/>
  <c r="N599" i="8"/>
  <c r="G599" i="8"/>
  <c r="E599" i="8"/>
  <c r="Z598" i="8"/>
  <c r="W598" i="8"/>
  <c r="P598" i="8"/>
  <c r="N598" i="8"/>
  <c r="G598" i="8"/>
  <c r="E598" i="8"/>
  <c r="Z597" i="8"/>
  <c r="W597" i="8"/>
  <c r="P597" i="8"/>
  <c r="N597" i="8"/>
  <c r="G597" i="8"/>
  <c r="E597" i="8"/>
  <c r="Z596" i="8"/>
  <c r="W596" i="8"/>
  <c r="P596" i="8"/>
  <c r="N596" i="8"/>
  <c r="G596" i="8"/>
  <c r="E596" i="8"/>
  <c r="Z595" i="8"/>
  <c r="W595" i="8"/>
  <c r="P595" i="8"/>
  <c r="N595" i="8"/>
  <c r="G595" i="8"/>
  <c r="E595" i="8"/>
  <c r="Z594" i="8"/>
  <c r="Y594" i="8"/>
  <c r="X594" i="8"/>
  <c r="W594" i="8"/>
  <c r="P594" i="8"/>
  <c r="O594" i="8"/>
  <c r="N594" i="8"/>
  <c r="G594" i="8"/>
  <c r="F594" i="8"/>
  <c r="E594" i="8"/>
  <c r="AB592" i="8"/>
  <c r="AA592" i="8"/>
  <c r="Z592" i="8"/>
  <c r="Y592" i="8"/>
  <c r="X592" i="8"/>
  <c r="W592" i="8"/>
  <c r="Q592" i="8"/>
  <c r="P592" i="8"/>
  <c r="O592" i="8"/>
  <c r="N592" i="8"/>
  <c r="H592" i="8"/>
  <c r="G592" i="8"/>
  <c r="F592" i="8"/>
  <c r="E592" i="8"/>
  <c r="Z591" i="8"/>
  <c r="W591" i="8"/>
  <c r="P591" i="8"/>
  <c r="N591" i="8"/>
  <c r="G591" i="8"/>
  <c r="E591" i="8"/>
  <c r="Z590" i="8"/>
  <c r="W590" i="8"/>
  <c r="P590" i="8"/>
  <c r="N590" i="8"/>
  <c r="G590" i="8"/>
  <c r="E590" i="8"/>
  <c r="Z589" i="8"/>
  <c r="W589" i="8"/>
  <c r="P589" i="8"/>
  <c r="N589" i="8"/>
  <c r="G589" i="8"/>
  <c r="E589" i="8"/>
  <c r="Z587" i="8"/>
  <c r="W587" i="8"/>
  <c r="P587" i="8"/>
  <c r="N587" i="8"/>
  <c r="G587" i="8"/>
  <c r="E587" i="8"/>
  <c r="Z586" i="8"/>
  <c r="W586" i="8"/>
  <c r="P586" i="8"/>
  <c r="N586" i="8"/>
  <c r="G586" i="8"/>
  <c r="E586" i="8"/>
  <c r="Z584" i="8"/>
  <c r="W584" i="8"/>
  <c r="P584" i="8"/>
  <c r="N584" i="8"/>
  <c r="G584" i="8"/>
  <c r="E584" i="8"/>
  <c r="Z583" i="8"/>
  <c r="W583" i="8"/>
  <c r="P583" i="8"/>
  <c r="N583" i="8"/>
  <c r="G583" i="8"/>
  <c r="E583" i="8"/>
  <c r="Z581" i="8"/>
  <c r="W581" i="8"/>
  <c r="P581" i="8"/>
  <c r="N581" i="8"/>
  <c r="G581" i="8"/>
  <c r="E581" i="8"/>
  <c r="Z580" i="8"/>
  <c r="W580" i="8"/>
  <c r="P580" i="8"/>
  <c r="N580" i="8"/>
  <c r="G580" i="8"/>
  <c r="E580" i="8"/>
  <c r="Z579" i="8"/>
  <c r="W579" i="8"/>
  <c r="P579" i="8"/>
  <c r="N579" i="8"/>
  <c r="G579" i="8"/>
  <c r="E579" i="8"/>
  <c r="AB578" i="8"/>
  <c r="AA578" i="8"/>
  <c r="Z578" i="8"/>
  <c r="W578" i="8"/>
  <c r="Q578" i="8"/>
  <c r="P578" i="8"/>
  <c r="N578" i="8"/>
  <c r="H578" i="8"/>
  <c r="G578" i="8"/>
  <c r="E578" i="8"/>
  <c r="AB560" i="8"/>
  <c r="AA560" i="8"/>
  <c r="Z560" i="8"/>
  <c r="Y560" i="8"/>
  <c r="W560" i="8"/>
  <c r="W558" i="8"/>
  <c r="C556" i="8"/>
  <c r="L556" i="8" s="1"/>
  <c r="AB552" i="8"/>
  <c r="AA552" i="8"/>
  <c r="Z552" i="8"/>
  <c r="Y552" i="8"/>
  <c r="Q552" i="8"/>
  <c r="P552" i="8"/>
  <c r="H552" i="8"/>
  <c r="G552" i="8"/>
  <c r="AA550" i="8"/>
  <c r="Y550" i="8"/>
  <c r="Z542" i="8"/>
  <c r="W542" i="8"/>
  <c r="P542" i="8"/>
  <c r="N542" i="8"/>
  <c r="G542" i="8"/>
  <c r="E542" i="8"/>
  <c r="Z541" i="8"/>
  <c r="W541" i="8"/>
  <c r="P541" i="8"/>
  <c r="N541" i="8"/>
  <c r="G541" i="8"/>
  <c r="E541" i="8"/>
  <c r="Z540" i="8"/>
  <c r="Y540" i="8"/>
  <c r="X540" i="8"/>
  <c r="W540" i="8"/>
  <c r="P540" i="8"/>
  <c r="O540" i="8"/>
  <c r="N540" i="8"/>
  <c r="G540" i="8"/>
  <c r="F540" i="8"/>
  <c r="E540" i="8"/>
  <c r="Z539" i="8"/>
  <c r="Y539" i="8"/>
  <c r="X539" i="8"/>
  <c r="W539" i="8"/>
  <c r="P539" i="8"/>
  <c r="O539" i="8"/>
  <c r="N539" i="8"/>
  <c r="G539" i="8"/>
  <c r="F539" i="8"/>
  <c r="E539" i="8"/>
  <c r="Z538" i="8"/>
  <c r="Y538" i="8"/>
  <c r="X538" i="8"/>
  <c r="W538" i="8"/>
  <c r="P538" i="8"/>
  <c r="O538" i="8"/>
  <c r="N538" i="8"/>
  <c r="G538" i="8"/>
  <c r="F538" i="8"/>
  <c r="E538" i="8"/>
  <c r="Z537" i="8"/>
  <c r="Y537" i="8"/>
  <c r="X537" i="8"/>
  <c r="W537" i="8"/>
  <c r="P537" i="8"/>
  <c r="O537" i="8"/>
  <c r="N537" i="8"/>
  <c r="G537" i="8"/>
  <c r="F537" i="8"/>
  <c r="E537" i="8"/>
  <c r="AB536" i="8"/>
  <c r="AA536" i="8"/>
  <c r="Z536" i="8"/>
  <c r="W536" i="8"/>
  <c r="Q536" i="8"/>
  <c r="P536" i="8"/>
  <c r="N536" i="8"/>
  <c r="H536" i="8"/>
  <c r="G536" i="8"/>
  <c r="E536" i="8"/>
  <c r="AB535" i="8"/>
  <c r="AA535" i="8"/>
  <c r="Z535" i="8"/>
  <c r="W535" i="8"/>
  <c r="Q535" i="8"/>
  <c r="P535" i="8"/>
  <c r="N535" i="8"/>
  <c r="H535" i="8"/>
  <c r="G535" i="8"/>
  <c r="E535" i="8"/>
  <c r="Z534" i="8"/>
  <c r="W534" i="8"/>
  <c r="P534" i="8"/>
  <c r="N534" i="8"/>
  <c r="G534" i="8"/>
  <c r="E534" i="8"/>
  <c r="Z533" i="8"/>
  <c r="W533" i="8"/>
  <c r="P533" i="8"/>
  <c r="N533" i="8"/>
  <c r="G533" i="8"/>
  <c r="E533" i="8"/>
  <c r="Z532" i="8"/>
  <c r="W532" i="8"/>
  <c r="P532" i="8"/>
  <c r="N532" i="8"/>
  <c r="G532" i="8"/>
  <c r="E532" i="8"/>
  <c r="Z530" i="8"/>
  <c r="W530" i="8"/>
  <c r="P530" i="8"/>
  <c r="N530" i="8"/>
  <c r="G530" i="8"/>
  <c r="E530" i="8"/>
  <c r="Z529" i="8"/>
  <c r="W529" i="8"/>
  <c r="P529" i="8"/>
  <c r="N529" i="8"/>
  <c r="G529" i="8"/>
  <c r="E529" i="8"/>
  <c r="Z528" i="8"/>
  <c r="W528" i="8"/>
  <c r="P528" i="8"/>
  <c r="N528" i="8"/>
  <c r="G528" i="8"/>
  <c r="E528" i="8"/>
  <c r="Z527" i="8"/>
  <c r="W527" i="8"/>
  <c r="P527" i="8"/>
  <c r="N527" i="8"/>
  <c r="G527" i="8"/>
  <c r="E527" i="8"/>
  <c r="Z526" i="8"/>
  <c r="W526" i="8"/>
  <c r="P526" i="8"/>
  <c r="N526" i="8"/>
  <c r="G526" i="8"/>
  <c r="E526" i="8"/>
  <c r="Z525" i="8"/>
  <c r="W525" i="8"/>
  <c r="P525" i="8"/>
  <c r="N525" i="8"/>
  <c r="G525" i="8"/>
  <c r="E525" i="8"/>
  <c r="Z524" i="8"/>
  <c r="Y524" i="8"/>
  <c r="X524" i="8"/>
  <c r="W524" i="8"/>
  <c r="P524" i="8"/>
  <c r="O524" i="8"/>
  <c r="N524" i="8"/>
  <c r="G524" i="8"/>
  <c r="F524" i="8"/>
  <c r="E524" i="8"/>
  <c r="AB522" i="8"/>
  <c r="AA522" i="8"/>
  <c r="Z522" i="8"/>
  <c r="Y522" i="8"/>
  <c r="X522" i="8"/>
  <c r="W522" i="8"/>
  <c r="Q522" i="8"/>
  <c r="P522" i="8"/>
  <c r="O522" i="8"/>
  <c r="N522" i="8"/>
  <c r="H522" i="8"/>
  <c r="G522" i="8"/>
  <c r="F522" i="8"/>
  <c r="E522" i="8"/>
  <c r="Z521" i="8"/>
  <c r="W521" i="8"/>
  <c r="P521" i="8"/>
  <c r="N521" i="8"/>
  <c r="G521" i="8"/>
  <c r="E521" i="8"/>
  <c r="Z520" i="8"/>
  <c r="W520" i="8"/>
  <c r="P520" i="8"/>
  <c r="N520" i="8"/>
  <c r="G520" i="8"/>
  <c r="E520" i="8"/>
  <c r="Z519" i="8"/>
  <c r="W519" i="8"/>
  <c r="P519" i="8"/>
  <c r="N519" i="8"/>
  <c r="G519" i="8"/>
  <c r="E519" i="8"/>
  <c r="Z517" i="8"/>
  <c r="W517" i="8"/>
  <c r="P517" i="8"/>
  <c r="N517" i="8"/>
  <c r="G517" i="8"/>
  <c r="E517" i="8"/>
  <c r="Z516" i="8"/>
  <c r="W516" i="8"/>
  <c r="P516" i="8"/>
  <c r="N516" i="8"/>
  <c r="G516" i="8"/>
  <c r="E516" i="8"/>
  <c r="Z514" i="8"/>
  <c r="W514" i="8"/>
  <c r="P514" i="8"/>
  <c r="N514" i="8"/>
  <c r="G514" i="8"/>
  <c r="E514" i="8"/>
  <c r="Z513" i="8"/>
  <c r="W513" i="8"/>
  <c r="P513" i="8"/>
  <c r="N513" i="8"/>
  <c r="G513" i="8"/>
  <c r="E513" i="8"/>
  <c r="Z511" i="8"/>
  <c r="W511" i="8"/>
  <c r="P511" i="8"/>
  <c r="N511" i="8"/>
  <c r="G511" i="8"/>
  <c r="E511" i="8"/>
  <c r="Z510" i="8"/>
  <c r="W510" i="8"/>
  <c r="P510" i="8"/>
  <c r="N510" i="8"/>
  <c r="G510" i="8"/>
  <c r="E510" i="8"/>
  <c r="Z509" i="8"/>
  <c r="W509" i="8"/>
  <c r="P509" i="8"/>
  <c r="N509" i="8"/>
  <c r="G509" i="8"/>
  <c r="E509" i="8"/>
  <c r="AB508" i="8"/>
  <c r="AA508" i="8"/>
  <c r="Z508" i="8"/>
  <c r="W508" i="8"/>
  <c r="Q508" i="8"/>
  <c r="P508" i="8"/>
  <c r="N508" i="8"/>
  <c r="H508" i="8"/>
  <c r="G508" i="8"/>
  <c r="E508" i="8"/>
  <c r="AB490" i="8"/>
  <c r="AA490" i="8"/>
  <c r="Z490" i="8"/>
  <c r="Y490" i="8"/>
  <c r="W490" i="8"/>
  <c r="W488" i="8"/>
  <c r="C486" i="8"/>
  <c r="L486" i="8" s="1"/>
  <c r="AB482" i="8"/>
  <c r="AA482" i="8"/>
  <c r="Z482" i="8"/>
  <c r="Y482" i="8"/>
  <c r="Q482" i="8"/>
  <c r="P482" i="8"/>
  <c r="H482" i="8"/>
  <c r="G482" i="8"/>
  <c r="AA480" i="8"/>
  <c r="Y480" i="8"/>
  <c r="Z472" i="8"/>
  <c r="W472" i="8"/>
  <c r="P472" i="8"/>
  <c r="N472" i="8"/>
  <c r="G472" i="8"/>
  <c r="E472" i="8"/>
  <c r="Z471" i="8"/>
  <c r="W471" i="8"/>
  <c r="P471" i="8"/>
  <c r="N471" i="8"/>
  <c r="G471" i="8"/>
  <c r="E471" i="8"/>
  <c r="Z470" i="8"/>
  <c r="Y470" i="8"/>
  <c r="X470" i="8"/>
  <c r="W470" i="8"/>
  <c r="P470" i="8"/>
  <c r="O470" i="8"/>
  <c r="N470" i="8"/>
  <c r="G470" i="8"/>
  <c r="F470" i="8"/>
  <c r="E470" i="8"/>
  <c r="Z469" i="8"/>
  <c r="Y469" i="8"/>
  <c r="X469" i="8"/>
  <c r="W469" i="8"/>
  <c r="P469" i="8"/>
  <c r="O469" i="8"/>
  <c r="N469" i="8"/>
  <c r="G469" i="8"/>
  <c r="F469" i="8"/>
  <c r="E469" i="8"/>
  <c r="Z468" i="8"/>
  <c r="Y468" i="8"/>
  <c r="X468" i="8"/>
  <c r="W468" i="8"/>
  <c r="P468" i="8"/>
  <c r="O468" i="8"/>
  <c r="N468" i="8"/>
  <c r="G468" i="8"/>
  <c r="F468" i="8"/>
  <c r="E468" i="8"/>
  <c r="Z467" i="8"/>
  <c r="Y467" i="8"/>
  <c r="X467" i="8"/>
  <c r="W467" i="8"/>
  <c r="P467" i="8"/>
  <c r="O467" i="8"/>
  <c r="N467" i="8"/>
  <c r="G467" i="8"/>
  <c r="F467" i="8"/>
  <c r="E467" i="8"/>
  <c r="AB466" i="8"/>
  <c r="AA466" i="8"/>
  <c r="Z466" i="8"/>
  <c r="W466" i="8"/>
  <c r="Q466" i="8"/>
  <c r="P466" i="8"/>
  <c r="N466" i="8"/>
  <c r="H466" i="8"/>
  <c r="G466" i="8"/>
  <c r="E466" i="8"/>
  <c r="AB465" i="8"/>
  <c r="AA465" i="8"/>
  <c r="Z465" i="8"/>
  <c r="W465" i="8"/>
  <c r="Q465" i="8"/>
  <c r="P465" i="8"/>
  <c r="N465" i="8"/>
  <c r="H465" i="8"/>
  <c r="G465" i="8"/>
  <c r="E465" i="8"/>
  <c r="Z464" i="8"/>
  <c r="W464" i="8"/>
  <c r="P464" i="8"/>
  <c r="N464" i="8"/>
  <c r="G464" i="8"/>
  <c r="E464" i="8"/>
  <c r="Z463" i="8"/>
  <c r="W463" i="8"/>
  <c r="P463" i="8"/>
  <c r="N463" i="8"/>
  <c r="G463" i="8"/>
  <c r="E463" i="8"/>
  <c r="Z462" i="8"/>
  <c r="W462" i="8"/>
  <c r="P462" i="8"/>
  <c r="N462" i="8"/>
  <c r="G462" i="8"/>
  <c r="E462" i="8"/>
  <c r="Z460" i="8"/>
  <c r="W460" i="8"/>
  <c r="P460" i="8"/>
  <c r="N460" i="8"/>
  <c r="G460" i="8"/>
  <c r="E460" i="8"/>
  <c r="Z459" i="8"/>
  <c r="W459" i="8"/>
  <c r="P459" i="8"/>
  <c r="N459" i="8"/>
  <c r="G459" i="8"/>
  <c r="E459" i="8"/>
  <c r="Z458" i="8"/>
  <c r="W458" i="8"/>
  <c r="P458" i="8"/>
  <c r="N458" i="8"/>
  <c r="G458" i="8"/>
  <c r="E458" i="8"/>
  <c r="Z457" i="8"/>
  <c r="W457" i="8"/>
  <c r="P457" i="8"/>
  <c r="N457" i="8"/>
  <c r="G457" i="8"/>
  <c r="E457" i="8"/>
  <c r="Z456" i="8"/>
  <c r="W456" i="8"/>
  <c r="P456" i="8"/>
  <c r="N456" i="8"/>
  <c r="G456" i="8"/>
  <c r="E456" i="8"/>
  <c r="Z455" i="8"/>
  <c r="W455" i="8"/>
  <c r="P455" i="8"/>
  <c r="N455" i="8"/>
  <c r="G455" i="8"/>
  <c r="E455" i="8"/>
  <c r="Z454" i="8"/>
  <c r="Y454" i="8"/>
  <c r="X454" i="8"/>
  <c r="W454" i="8"/>
  <c r="P454" i="8"/>
  <c r="O454" i="8"/>
  <c r="N454" i="8"/>
  <c r="G454" i="8"/>
  <c r="F454" i="8"/>
  <c r="E454" i="8"/>
  <c r="AB452" i="8"/>
  <c r="AA452" i="8"/>
  <c r="Z452" i="8"/>
  <c r="Y452" i="8"/>
  <c r="X452" i="8"/>
  <c r="W452" i="8"/>
  <c r="Q452" i="8"/>
  <c r="P452" i="8"/>
  <c r="O452" i="8"/>
  <c r="N452" i="8"/>
  <c r="H452" i="8"/>
  <c r="G452" i="8"/>
  <c r="F452" i="8"/>
  <c r="E452" i="8"/>
  <c r="Z451" i="8"/>
  <c r="W451" i="8"/>
  <c r="P451" i="8"/>
  <c r="N451" i="8"/>
  <c r="G451" i="8"/>
  <c r="E451" i="8"/>
  <c r="Z450" i="8"/>
  <c r="W450" i="8"/>
  <c r="P450" i="8"/>
  <c r="N450" i="8"/>
  <c r="G450" i="8"/>
  <c r="E450" i="8"/>
  <c r="Z449" i="8"/>
  <c r="W449" i="8"/>
  <c r="P449" i="8"/>
  <c r="N449" i="8"/>
  <c r="G449" i="8"/>
  <c r="E449" i="8"/>
  <c r="Z447" i="8"/>
  <c r="W447" i="8"/>
  <c r="P447" i="8"/>
  <c r="N447" i="8"/>
  <c r="G447" i="8"/>
  <c r="E447" i="8"/>
  <c r="Z446" i="8"/>
  <c r="W446" i="8"/>
  <c r="P446" i="8"/>
  <c r="N446" i="8"/>
  <c r="G446" i="8"/>
  <c r="E446" i="8"/>
  <c r="Z444" i="8"/>
  <c r="W444" i="8"/>
  <c r="P444" i="8"/>
  <c r="N444" i="8"/>
  <c r="G444" i="8"/>
  <c r="E444" i="8"/>
  <c r="Z443" i="8"/>
  <c r="W443" i="8"/>
  <c r="P443" i="8"/>
  <c r="N443" i="8"/>
  <c r="G443" i="8"/>
  <c r="E443" i="8"/>
  <c r="Z441" i="8"/>
  <c r="W441" i="8"/>
  <c r="P441" i="8"/>
  <c r="N441" i="8"/>
  <c r="G441" i="8"/>
  <c r="E441" i="8"/>
  <c r="Z440" i="8"/>
  <c r="W440" i="8"/>
  <c r="P440" i="8"/>
  <c r="N440" i="8"/>
  <c r="G440" i="8"/>
  <c r="E440" i="8"/>
  <c r="Z439" i="8"/>
  <c r="W439" i="8"/>
  <c r="P439" i="8"/>
  <c r="N439" i="8"/>
  <c r="G439" i="8"/>
  <c r="E439" i="8"/>
  <c r="AB438" i="8"/>
  <c r="AA438" i="8"/>
  <c r="Z438" i="8"/>
  <c r="W438" i="8"/>
  <c r="Q438" i="8"/>
  <c r="P438" i="8"/>
  <c r="N438" i="8"/>
  <c r="H438" i="8"/>
  <c r="G438" i="8"/>
  <c r="E438" i="8"/>
  <c r="AB420" i="8"/>
  <c r="AA420" i="8"/>
  <c r="Z420" i="8"/>
  <c r="Y420" i="8"/>
  <c r="W420" i="8"/>
  <c r="W418" i="8"/>
  <c r="C416" i="8"/>
  <c r="L416" i="8" s="1"/>
  <c r="AB412" i="8"/>
  <c r="AA412" i="8"/>
  <c r="Z412" i="8"/>
  <c r="Y412" i="8"/>
  <c r="Q412" i="8"/>
  <c r="P412" i="8"/>
  <c r="H412" i="8"/>
  <c r="G412" i="8"/>
  <c r="AA410" i="8"/>
  <c r="Y410" i="8"/>
  <c r="Z402" i="8"/>
  <c r="W402" i="8"/>
  <c r="P402" i="8"/>
  <c r="N402" i="8"/>
  <c r="G402" i="8"/>
  <c r="E402" i="8"/>
  <c r="Z401" i="8"/>
  <c r="W401" i="8"/>
  <c r="P401" i="8"/>
  <c r="N401" i="8"/>
  <c r="G401" i="8"/>
  <c r="E401" i="8"/>
  <c r="Z400" i="8"/>
  <c r="Y400" i="8"/>
  <c r="X400" i="8"/>
  <c r="W400" i="8"/>
  <c r="P400" i="8"/>
  <c r="O400" i="8"/>
  <c r="N400" i="8"/>
  <c r="G400" i="8"/>
  <c r="F400" i="8"/>
  <c r="E400" i="8"/>
  <c r="Z399" i="8"/>
  <c r="Y399" i="8"/>
  <c r="X399" i="8"/>
  <c r="W399" i="8"/>
  <c r="P399" i="8"/>
  <c r="O399" i="8"/>
  <c r="N399" i="8"/>
  <c r="G399" i="8"/>
  <c r="F399" i="8"/>
  <c r="E399" i="8"/>
  <c r="Z398" i="8"/>
  <c r="Y398" i="8"/>
  <c r="X398" i="8"/>
  <c r="W398" i="8"/>
  <c r="P398" i="8"/>
  <c r="O398" i="8"/>
  <c r="N398" i="8"/>
  <c r="G398" i="8"/>
  <c r="F398" i="8"/>
  <c r="E398" i="8"/>
  <c r="Z397" i="8"/>
  <c r="Y397" i="8"/>
  <c r="X397" i="8"/>
  <c r="W397" i="8"/>
  <c r="P397" i="8"/>
  <c r="O397" i="8"/>
  <c r="N397" i="8"/>
  <c r="G397" i="8"/>
  <c r="F397" i="8"/>
  <c r="E397" i="8"/>
  <c r="AB396" i="8"/>
  <c r="AA396" i="8"/>
  <c r="Z396" i="8"/>
  <c r="W396" i="8"/>
  <c r="Q396" i="8"/>
  <c r="P396" i="8"/>
  <c r="N396" i="8"/>
  <c r="H396" i="8"/>
  <c r="G396" i="8"/>
  <c r="E396" i="8"/>
  <c r="AB395" i="8"/>
  <c r="AA395" i="8"/>
  <c r="Z395" i="8"/>
  <c r="W395" i="8"/>
  <c r="Q395" i="8"/>
  <c r="P395" i="8"/>
  <c r="N395" i="8"/>
  <c r="H395" i="8"/>
  <c r="G395" i="8"/>
  <c r="E395" i="8"/>
  <c r="Z394" i="8"/>
  <c r="W394" i="8"/>
  <c r="P394" i="8"/>
  <c r="N394" i="8"/>
  <c r="G394" i="8"/>
  <c r="E394" i="8"/>
  <c r="Z393" i="8"/>
  <c r="W393" i="8"/>
  <c r="P393" i="8"/>
  <c r="N393" i="8"/>
  <c r="G393" i="8"/>
  <c r="E393" i="8"/>
  <c r="Z392" i="8"/>
  <c r="W392" i="8"/>
  <c r="P392" i="8"/>
  <c r="N392" i="8"/>
  <c r="G392" i="8"/>
  <c r="E392" i="8"/>
  <c r="Z390" i="8"/>
  <c r="W390" i="8"/>
  <c r="P390" i="8"/>
  <c r="N390" i="8"/>
  <c r="G390" i="8"/>
  <c r="E390" i="8"/>
  <c r="Z389" i="8"/>
  <c r="W389" i="8"/>
  <c r="P389" i="8"/>
  <c r="N389" i="8"/>
  <c r="G389" i="8"/>
  <c r="E389" i="8"/>
  <c r="Z388" i="8"/>
  <c r="W388" i="8"/>
  <c r="P388" i="8"/>
  <c r="N388" i="8"/>
  <c r="G388" i="8"/>
  <c r="E388" i="8"/>
  <c r="Z387" i="8"/>
  <c r="W387" i="8"/>
  <c r="P387" i="8"/>
  <c r="N387" i="8"/>
  <c r="G387" i="8"/>
  <c r="E387" i="8"/>
  <c r="Z386" i="8"/>
  <c r="W386" i="8"/>
  <c r="P386" i="8"/>
  <c r="N386" i="8"/>
  <c r="G386" i="8"/>
  <c r="E386" i="8"/>
  <c r="Z385" i="8"/>
  <c r="W385" i="8"/>
  <c r="P385" i="8"/>
  <c r="N385" i="8"/>
  <c r="G385" i="8"/>
  <c r="E385" i="8"/>
  <c r="Z384" i="8"/>
  <c r="Y384" i="8"/>
  <c r="X384" i="8"/>
  <c r="W384" i="8"/>
  <c r="P384" i="8"/>
  <c r="O384" i="8"/>
  <c r="N384" i="8"/>
  <c r="G384" i="8"/>
  <c r="F384" i="8"/>
  <c r="E384" i="8"/>
  <c r="AB382" i="8"/>
  <c r="AA382" i="8"/>
  <c r="Z382" i="8"/>
  <c r="Y382" i="8"/>
  <c r="X382" i="8"/>
  <c r="W382" i="8"/>
  <c r="Q382" i="8"/>
  <c r="P382" i="8"/>
  <c r="O382" i="8"/>
  <c r="N382" i="8"/>
  <c r="H382" i="8"/>
  <c r="G382" i="8"/>
  <c r="F382" i="8"/>
  <c r="E382" i="8"/>
  <c r="Z381" i="8"/>
  <c r="W381" i="8"/>
  <c r="P381" i="8"/>
  <c r="N381" i="8"/>
  <c r="G381" i="8"/>
  <c r="E381" i="8"/>
  <c r="Z380" i="8"/>
  <c r="W380" i="8"/>
  <c r="P380" i="8"/>
  <c r="N380" i="8"/>
  <c r="G380" i="8"/>
  <c r="E380" i="8"/>
  <c r="Z379" i="8"/>
  <c r="W379" i="8"/>
  <c r="P379" i="8"/>
  <c r="N379" i="8"/>
  <c r="G379" i="8"/>
  <c r="E379" i="8"/>
  <c r="Z377" i="8"/>
  <c r="W377" i="8"/>
  <c r="P377" i="8"/>
  <c r="N377" i="8"/>
  <c r="G377" i="8"/>
  <c r="E377" i="8"/>
  <c r="Z376" i="8"/>
  <c r="W376" i="8"/>
  <c r="P376" i="8"/>
  <c r="N376" i="8"/>
  <c r="G376" i="8"/>
  <c r="E376" i="8"/>
  <c r="Z374" i="8"/>
  <c r="W374" i="8"/>
  <c r="P374" i="8"/>
  <c r="N374" i="8"/>
  <c r="G374" i="8"/>
  <c r="E374" i="8"/>
  <c r="Z373" i="8"/>
  <c r="W373" i="8"/>
  <c r="P373" i="8"/>
  <c r="N373" i="8"/>
  <c r="G373" i="8"/>
  <c r="E373" i="8"/>
  <c r="Z371" i="8"/>
  <c r="W371" i="8"/>
  <c r="P371" i="8"/>
  <c r="N371" i="8"/>
  <c r="G371" i="8"/>
  <c r="E371" i="8"/>
  <c r="Z370" i="8"/>
  <c r="W370" i="8"/>
  <c r="P370" i="8"/>
  <c r="N370" i="8"/>
  <c r="G370" i="8"/>
  <c r="E370" i="8"/>
  <c r="Z369" i="8"/>
  <c r="W369" i="8"/>
  <c r="P369" i="8"/>
  <c r="N369" i="8"/>
  <c r="G369" i="8"/>
  <c r="E369" i="8"/>
  <c r="AB368" i="8"/>
  <c r="AA368" i="8"/>
  <c r="Z368" i="8"/>
  <c r="W368" i="8"/>
  <c r="Q368" i="8"/>
  <c r="P368" i="8"/>
  <c r="N368" i="8"/>
  <c r="H368" i="8"/>
  <c r="G368" i="8"/>
  <c r="E368" i="8"/>
  <c r="AB350" i="8"/>
  <c r="AA350" i="8"/>
  <c r="Z350" i="8"/>
  <c r="Y350" i="8"/>
  <c r="W350" i="8"/>
  <c r="W348" i="8"/>
  <c r="C346" i="8"/>
  <c r="L346" i="8" s="1"/>
  <c r="AB342" i="8"/>
  <c r="AA342" i="8"/>
  <c r="Z342" i="8"/>
  <c r="Y342" i="8"/>
  <c r="Q342" i="8"/>
  <c r="P342" i="8"/>
  <c r="H342" i="8"/>
  <c r="G342" i="8"/>
  <c r="AA340" i="8"/>
  <c r="Y340" i="8"/>
  <c r="Z332" i="8"/>
  <c r="W332" i="8"/>
  <c r="P332" i="8"/>
  <c r="N332" i="8"/>
  <c r="G332" i="8"/>
  <c r="E332" i="8"/>
  <c r="Z331" i="8"/>
  <c r="W331" i="8"/>
  <c r="P331" i="8"/>
  <c r="N331" i="8"/>
  <c r="G331" i="8"/>
  <c r="E331" i="8"/>
  <c r="Z330" i="8"/>
  <c r="Y330" i="8"/>
  <c r="X330" i="8"/>
  <c r="W330" i="8"/>
  <c r="P330" i="8"/>
  <c r="O330" i="8"/>
  <c r="N330" i="8"/>
  <c r="G330" i="8"/>
  <c r="F330" i="8"/>
  <c r="E330" i="8"/>
  <c r="Z329" i="8"/>
  <c r="Y329" i="8"/>
  <c r="X329" i="8"/>
  <c r="W329" i="8"/>
  <c r="P329" i="8"/>
  <c r="O329" i="8"/>
  <c r="N329" i="8"/>
  <c r="G329" i="8"/>
  <c r="F329" i="8"/>
  <c r="E329" i="8"/>
  <c r="Z328" i="8"/>
  <c r="Y328" i="8"/>
  <c r="X328" i="8"/>
  <c r="W328" i="8"/>
  <c r="P328" i="8"/>
  <c r="O328" i="8"/>
  <c r="N328" i="8"/>
  <c r="G328" i="8"/>
  <c r="F328" i="8"/>
  <c r="E328" i="8"/>
  <c r="Z327" i="8"/>
  <c r="Y327" i="8"/>
  <c r="X327" i="8"/>
  <c r="W327" i="8"/>
  <c r="P327" i="8"/>
  <c r="O327" i="8"/>
  <c r="N327" i="8"/>
  <c r="G327" i="8"/>
  <c r="F327" i="8"/>
  <c r="E327" i="8"/>
  <c r="AB326" i="8"/>
  <c r="AA326" i="8"/>
  <c r="Z326" i="8"/>
  <c r="W326" i="8"/>
  <c r="Q326" i="8"/>
  <c r="P326" i="8"/>
  <c r="N326" i="8"/>
  <c r="H326" i="8"/>
  <c r="G326" i="8"/>
  <c r="E326" i="8"/>
  <c r="AB325" i="8"/>
  <c r="AA325" i="8"/>
  <c r="Z325" i="8"/>
  <c r="W325" i="8"/>
  <c r="Q325" i="8"/>
  <c r="P325" i="8"/>
  <c r="N325" i="8"/>
  <c r="H325" i="8"/>
  <c r="G325" i="8"/>
  <c r="E325" i="8"/>
  <c r="Z324" i="8"/>
  <c r="W324" i="8"/>
  <c r="P324" i="8"/>
  <c r="N324" i="8"/>
  <c r="G324" i="8"/>
  <c r="E324" i="8"/>
  <c r="Z323" i="8"/>
  <c r="W323" i="8"/>
  <c r="P323" i="8"/>
  <c r="N323" i="8"/>
  <c r="G323" i="8"/>
  <c r="E323" i="8"/>
  <c r="Z322" i="8"/>
  <c r="W322" i="8"/>
  <c r="P322" i="8"/>
  <c r="N322" i="8"/>
  <c r="G322" i="8"/>
  <c r="E322" i="8"/>
  <c r="Z320" i="8"/>
  <c r="W320" i="8"/>
  <c r="P320" i="8"/>
  <c r="N320" i="8"/>
  <c r="G320" i="8"/>
  <c r="E320" i="8"/>
  <c r="Z319" i="8"/>
  <c r="W319" i="8"/>
  <c r="P319" i="8"/>
  <c r="N319" i="8"/>
  <c r="G319" i="8"/>
  <c r="E319" i="8"/>
  <c r="Z318" i="8"/>
  <c r="W318" i="8"/>
  <c r="P318" i="8"/>
  <c r="N318" i="8"/>
  <c r="G318" i="8"/>
  <c r="E318" i="8"/>
  <c r="Z317" i="8"/>
  <c r="W317" i="8"/>
  <c r="P317" i="8"/>
  <c r="N317" i="8"/>
  <c r="G317" i="8"/>
  <c r="E317" i="8"/>
  <c r="Z316" i="8"/>
  <c r="W316" i="8"/>
  <c r="P316" i="8"/>
  <c r="N316" i="8"/>
  <c r="G316" i="8"/>
  <c r="E316" i="8"/>
  <c r="Z315" i="8"/>
  <c r="W315" i="8"/>
  <c r="P315" i="8"/>
  <c r="N315" i="8"/>
  <c r="G315" i="8"/>
  <c r="E315" i="8"/>
  <c r="Z314" i="8"/>
  <c r="Y314" i="8"/>
  <c r="X314" i="8"/>
  <c r="W314" i="8"/>
  <c r="P314" i="8"/>
  <c r="O314" i="8"/>
  <c r="N314" i="8"/>
  <c r="G314" i="8"/>
  <c r="F314" i="8"/>
  <c r="E314" i="8"/>
  <c r="AB312" i="8"/>
  <c r="AA312" i="8"/>
  <c r="Z312" i="8"/>
  <c r="Y312" i="8"/>
  <c r="X312" i="8"/>
  <c r="W312" i="8"/>
  <c r="Q312" i="8"/>
  <c r="P312" i="8"/>
  <c r="O312" i="8"/>
  <c r="N312" i="8"/>
  <c r="H312" i="8"/>
  <c r="G312" i="8"/>
  <c r="F312" i="8"/>
  <c r="E312" i="8"/>
  <c r="Z311" i="8"/>
  <c r="W311" i="8"/>
  <c r="P311" i="8"/>
  <c r="N311" i="8"/>
  <c r="G311" i="8"/>
  <c r="E311" i="8"/>
  <c r="Z310" i="8"/>
  <c r="W310" i="8"/>
  <c r="P310" i="8"/>
  <c r="N310" i="8"/>
  <c r="G310" i="8"/>
  <c r="E310" i="8"/>
  <c r="Z309" i="8"/>
  <c r="W309" i="8"/>
  <c r="P309" i="8"/>
  <c r="N309" i="8"/>
  <c r="G309" i="8"/>
  <c r="E309" i="8"/>
  <c r="Z307" i="8"/>
  <c r="W307" i="8"/>
  <c r="P307" i="8"/>
  <c r="N307" i="8"/>
  <c r="G307" i="8"/>
  <c r="E307" i="8"/>
  <c r="Z306" i="8"/>
  <c r="W306" i="8"/>
  <c r="P306" i="8"/>
  <c r="N306" i="8"/>
  <c r="G306" i="8"/>
  <c r="E306" i="8"/>
  <c r="Z304" i="8"/>
  <c r="W304" i="8"/>
  <c r="P304" i="8"/>
  <c r="N304" i="8"/>
  <c r="G304" i="8"/>
  <c r="E304" i="8"/>
  <c r="Z303" i="8"/>
  <c r="W303" i="8"/>
  <c r="P303" i="8"/>
  <c r="N303" i="8"/>
  <c r="G303" i="8"/>
  <c r="E303" i="8"/>
  <c r="Z301" i="8"/>
  <c r="W301" i="8"/>
  <c r="P301" i="8"/>
  <c r="N301" i="8"/>
  <c r="G301" i="8"/>
  <c r="E301" i="8"/>
  <c r="Z300" i="8"/>
  <c r="W300" i="8"/>
  <c r="P300" i="8"/>
  <c r="N300" i="8"/>
  <c r="G300" i="8"/>
  <c r="E300" i="8"/>
  <c r="Z299" i="8"/>
  <c r="W299" i="8"/>
  <c r="P299" i="8"/>
  <c r="N299" i="8"/>
  <c r="G299" i="8"/>
  <c r="E299" i="8"/>
  <c r="AB298" i="8"/>
  <c r="AA298" i="8"/>
  <c r="Z298" i="8"/>
  <c r="W298" i="8"/>
  <c r="Q298" i="8"/>
  <c r="P298" i="8"/>
  <c r="N298" i="8"/>
  <c r="H298" i="8"/>
  <c r="G298" i="8"/>
  <c r="E298" i="8"/>
  <c r="AB280" i="8"/>
  <c r="AA280" i="8"/>
  <c r="Z280" i="8"/>
  <c r="Y280" i="8"/>
  <c r="W280" i="8"/>
  <c r="W278" i="8"/>
  <c r="C276" i="8"/>
  <c r="L276" i="8" s="1"/>
  <c r="AB272" i="8"/>
  <c r="AA272" i="8"/>
  <c r="Z272" i="8"/>
  <c r="Y272" i="8"/>
  <c r="Q272" i="8"/>
  <c r="P272" i="8"/>
  <c r="H272" i="8"/>
  <c r="G272" i="8"/>
  <c r="AA270" i="8"/>
  <c r="Y270" i="8"/>
  <c r="Z262" i="8"/>
  <c r="W262" i="8"/>
  <c r="P262" i="8"/>
  <c r="N262" i="8"/>
  <c r="G262" i="8"/>
  <c r="E262" i="8"/>
  <c r="Z261" i="8"/>
  <c r="W261" i="8"/>
  <c r="P261" i="8"/>
  <c r="N261" i="8"/>
  <c r="G261" i="8"/>
  <c r="E261" i="8"/>
  <c r="Z260" i="8"/>
  <c r="Y260" i="8"/>
  <c r="X260" i="8"/>
  <c r="W260" i="8"/>
  <c r="P260" i="8"/>
  <c r="O260" i="8"/>
  <c r="N260" i="8"/>
  <c r="G260" i="8"/>
  <c r="F260" i="8"/>
  <c r="E260" i="8"/>
  <c r="Z259" i="8"/>
  <c r="Y259" i="8"/>
  <c r="X259" i="8"/>
  <c r="W259" i="8"/>
  <c r="P259" i="8"/>
  <c r="O259" i="8"/>
  <c r="N259" i="8"/>
  <c r="G259" i="8"/>
  <c r="F259" i="8"/>
  <c r="E259" i="8"/>
  <c r="Z258" i="8"/>
  <c r="Y258" i="8"/>
  <c r="X258" i="8"/>
  <c r="W258" i="8"/>
  <c r="P258" i="8"/>
  <c r="O258" i="8"/>
  <c r="N258" i="8"/>
  <c r="G258" i="8"/>
  <c r="F258" i="8"/>
  <c r="E258" i="8"/>
  <c r="Z257" i="8"/>
  <c r="Y257" i="8"/>
  <c r="X257" i="8"/>
  <c r="W257" i="8"/>
  <c r="P257" i="8"/>
  <c r="O257" i="8"/>
  <c r="N257" i="8"/>
  <c r="G257" i="8"/>
  <c r="F257" i="8"/>
  <c r="E257" i="8"/>
  <c r="AB256" i="8"/>
  <c r="AA256" i="8"/>
  <c r="Z256" i="8"/>
  <c r="W256" i="8"/>
  <c r="Q256" i="8"/>
  <c r="P256" i="8"/>
  <c r="N256" i="8"/>
  <c r="H256" i="8"/>
  <c r="G256" i="8"/>
  <c r="E256" i="8"/>
  <c r="AB255" i="8"/>
  <c r="AA255" i="8"/>
  <c r="Z255" i="8"/>
  <c r="W255" i="8"/>
  <c r="Q255" i="8"/>
  <c r="P255" i="8"/>
  <c r="N255" i="8"/>
  <c r="H255" i="8"/>
  <c r="G255" i="8"/>
  <c r="E255" i="8"/>
  <c r="Z254" i="8"/>
  <c r="W254" i="8"/>
  <c r="P254" i="8"/>
  <c r="N254" i="8"/>
  <c r="G254" i="8"/>
  <c r="E254" i="8"/>
  <c r="Z253" i="8"/>
  <c r="W253" i="8"/>
  <c r="P253" i="8"/>
  <c r="N253" i="8"/>
  <c r="G253" i="8"/>
  <c r="E253" i="8"/>
  <c r="Z252" i="8"/>
  <c r="W252" i="8"/>
  <c r="P252" i="8"/>
  <c r="N252" i="8"/>
  <c r="G252" i="8"/>
  <c r="E252" i="8"/>
  <c r="Z250" i="8"/>
  <c r="W250" i="8"/>
  <c r="P250" i="8"/>
  <c r="N250" i="8"/>
  <c r="G250" i="8"/>
  <c r="E250" i="8"/>
  <c r="Z249" i="8"/>
  <c r="W249" i="8"/>
  <c r="P249" i="8"/>
  <c r="N249" i="8"/>
  <c r="G249" i="8"/>
  <c r="E249" i="8"/>
  <c r="Z248" i="8"/>
  <c r="W248" i="8"/>
  <c r="P248" i="8"/>
  <c r="N248" i="8"/>
  <c r="G248" i="8"/>
  <c r="E248" i="8"/>
  <c r="Z247" i="8"/>
  <c r="W247" i="8"/>
  <c r="P247" i="8"/>
  <c r="N247" i="8"/>
  <c r="G247" i="8"/>
  <c r="E247" i="8"/>
  <c r="Z246" i="8"/>
  <c r="W246" i="8"/>
  <c r="P246" i="8"/>
  <c r="N246" i="8"/>
  <c r="G246" i="8"/>
  <c r="E246" i="8"/>
  <c r="Z245" i="8"/>
  <c r="W245" i="8"/>
  <c r="P245" i="8"/>
  <c r="N245" i="8"/>
  <c r="G245" i="8"/>
  <c r="E245" i="8"/>
  <c r="Z244" i="8"/>
  <c r="Y244" i="8"/>
  <c r="X244" i="8"/>
  <c r="W244" i="8"/>
  <c r="P244" i="8"/>
  <c r="O244" i="8"/>
  <c r="N244" i="8"/>
  <c r="G244" i="8"/>
  <c r="F244" i="8"/>
  <c r="E244" i="8"/>
  <c r="AB242" i="8"/>
  <c r="AA242" i="8"/>
  <c r="Z242" i="8"/>
  <c r="Y242" i="8"/>
  <c r="X242" i="8"/>
  <c r="W242" i="8"/>
  <c r="Q242" i="8"/>
  <c r="P242" i="8"/>
  <c r="O242" i="8"/>
  <c r="N242" i="8"/>
  <c r="H242" i="8"/>
  <c r="G242" i="8"/>
  <c r="F242" i="8"/>
  <c r="E242" i="8"/>
  <c r="Z241" i="8"/>
  <c r="W241" i="8"/>
  <c r="P241" i="8"/>
  <c r="N241" i="8"/>
  <c r="G241" i="8"/>
  <c r="E241" i="8"/>
  <c r="Z240" i="8"/>
  <c r="W240" i="8"/>
  <c r="P240" i="8"/>
  <c r="N240" i="8"/>
  <c r="G240" i="8"/>
  <c r="E240" i="8"/>
  <c r="Z239" i="8"/>
  <c r="W239" i="8"/>
  <c r="P239" i="8"/>
  <c r="N239" i="8"/>
  <c r="G239" i="8"/>
  <c r="E239" i="8"/>
  <c r="Z237" i="8"/>
  <c r="W237" i="8"/>
  <c r="P237" i="8"/>
  <c r="N237" i="8"/>
  <c r="G237" i="8"/>
  <c r="E237" i="8"/>
  <c r="Z236" i="8"/>
  <c r="W236" i="8"/>
  <c r="P236" i="8"/>
  <c r="N236" i="8"/>
  <c r="G236" i="8"/>
  <c r="E236" i="8"/>
  <c r="Z234" i="8"/>
  <c r="W234" i="8"/>
  <c r="P234" i="8"/>
  <c r="N234" i="8"/>
  <c r="G234" i="8"/>
  <c r="E234" i="8"/>
  <c r="Z233" i="8"/>
  <c r="W233" i="8"/>
  <c r="P233" i="8"/>
  <c r="N233" i="8"/>
  <c r="G233" i="8"/>
  <c r="E233" i="8"/>
  <c r="Z231" i="8"/>
  <c r="W231" i="8"/>
  <c r="P231" i="8"/>
  <c r="N231" i="8"/>
  <c r="G231" i="8"/>
  <c r="E231" i="8"/>
  <c r="Z230" i="8"/>
  <c r="W230" i="8"/>
  <c r="P230" i="8"/>
  <c r="N230" i="8"/>
  <c r="G230" i="8"/>
  <c r="E230" i="8"/>
  <c r="Z229" i="8"/>
  <c r="W229" i="8"/>
  <c r="P229" i="8"/>
  <c r="N229" i="8"/>
  <c r="G229" i="8"/>
  <c r="E229" i="8"/>
  <c r="AB228" i="8"/>
  <c r="AA228" i="8"/>
  <c r="Z228" i="8"/>
  <c r="W228" i="8"/>
  <c r="Q228" i="8"/>
  <c r="P228" i="8"/>
  <c r="N228" i="8"/>
  <c r="H228" i="8"/>
  <c r="G228" i="8"/>
  <c r="E228" i="8"/>
  <c r="AB210" i="8"/>
  <c r="AA210" i="8"/>
  <c r="Z210" i="8"/>
  <c r="Y210" i="8"/>
  <c r="W210" i="8"/>
  <c r="W208" i="8"/>
  <c r="C206" i="8"/>
  <c r="L206" i="8" s="1"/>
  <c r="AB202" i="8"/>
  <c r="AA202" i="8"/>
  <c r="Z202" i="8"/>
  <c r="Y202" i="8"/>
  <c r="Q202" i="8"/>
  <c r="P202" i="8"/>
  <c r="H202" i="8"/>
  <c r="G202" i="8"/>
  <c r="AA200" i="8"/>
  <c r="Y200" i="8"/>
  <c r="Z192" i="8"/>
  <c r="W192" i="8"/>
  <c r="P192" i="8"/>
  <c r="N192" i="8"/>
  <c r="G192" i="8"/>
  <c r="E192" i="8"/>
  <c r="Z191" i="8"/>
  <c r="W191" i="8"/>
  <c r="P191" i="8"/>
  <c r="N191" i="8"/>
  <c r="G191" i="8"/>
  <c r="E191" i="8"/>
  <c r="Z190" i="8"/>
  <c r="Y190" i="8"/>
  <c r="X190" i="8"/>
  <c r="W190" i="8"/>
  <c r="P190" i="8"/>
  <c r="O190" i="8"/>
  <c r="N190" i="8"/>
  <c r="G190" i="8"/>
  <c r="F190" i="8"/>
  <c r="E190" i="8"/>
  <c r="Z189" i="8"/>
  <c r="Y189" i="8"/>
  <c r="X189" i="8"/>
  <c r="W189" i="8"/>
  <c r="P189" i="8"/>
  <c r="O189" i="8"/>
  <c r="N189" i="8"/>
  <c r="G189" i="8"/>
  <c r="F189" i="8"/>
  <c r="E189" i="8"/>
  <c r="Z188" i="8"/>
  <c r="Y188" i="8"/>
  <c r="X188" i="8"/>
  <c r="W188" i="8"/>
  <c r="P188" i="8"/>
  <c r="O188" i="8"/>
  <c r="N188" i="8"/>
  <c r="G188" i="8"/>
  <c r="F188" i="8"/>
  <c r="E188" i="8"/>
  <c r="Z187" i="8"/>
  <c r="Y187" i="8"/>
  <c r="X187" i="8"/>
  <c r="W187" i="8"/>
  <c r="P187" i="8"/>
  <c r="O187" i="8"/>
  <c r="N187" i="8"/>
  <c r="G187" i="8"/>
  <c r="F187" i="8"/>
  <c r="E187" i="8"/>
  <c r="AB186" i="8"/>
  <c r="AA186" i="8"/>
  <c r="Z186" i="8"/>
  <c r="W186" i="8"/>
  <c r="Q186" i="8"/>
  <c r="P186" i="8"/>
  <c r="N186" i="8"/>
  <c r="H186" i="8"/>
  <c r="G186" i="8"/>
  <c r="E186" i="8"/>
  <c r="AB185" i="8"/>
  <c r="AA185" i="8"/>
  <c r="Z185" i="8"/>
  <c r="W185" i="8"/>
  <c r="Q185" i="8"/>
  <c r="P185" i="8"/>
  <c r="N185" i="8"/>
  <c r="H185" i="8"/>
  <c r="G185" i="8"/>
  <c r="E185" i="8"/>
  <c r="Z184" i="8"/>
  <c r="W184" i="8"/>
  <c r="P184" i="8"/>
  <c r="N184" i="8"/>
  <c r="G184" i="8"/>
  <c r="E184" i="8"/>
  <c r="Z183" i="8"/>
  <c r="W183" i="8"/>
  <c r="P183" i="8"/>
  <c r="N183" i="8"/>
  <c r="G183" i="8"/>
  <c r="E183" i="8"/>
  <c r="Z182" i="8"/>
  <c r="W182" i="8"/>
  <c r="P182" i="8"/>
  <c r="N182" i="8"/>
  <c r="G182" i="8"/>
  <c r="E182" i="8"/>
  <c r="Z180" i="8"/>
  <c r="W180" i="8"/>
  <c r="P180" i="8"/>
  <c r="N180" i="8"/>
  <c r="G180" i="8"/>
  <c r="E180" i="8"/>
  <c r="Z179" i="8"/>
  <c r="W179" i="8"/>
  <c r="P179" i="8"/>
  <c r="N179" i="8"/>
  <c r="G179" i="8"/>
  <c r="E179" i="8"/>
  <c r="Z178" i="8"/>
  <c r="W178" i="8"/>
  <c r="P178" i="8"/>
  <c r="N178" i="8"/>
  <c r="G178" i="8"/>
  <c r="E178" i="8"/>
  <c r="Z177" i="8"/>
  <c r="W177" i="8"/>
  <c r="P177" i="8"/>
  <c r="N177" i="8"/>
  <c r="G177" i="8"/>
  <c r="E177" i="8"/>
  <c r="Z176" i="8"/>
  <c r="W176" i="8"/>
  <c r="P176" i="8"/>
  <c r="N176" i="8"/>
  <c r="G176" i="8"/>
  <c r="E176" i="8"/>
  <c r="Z175" i="8"/>
  <c r="W175" i="8"/>
  <c r="P175" i="8"/>
  <c r="N175" i="8"/>
  <c r="G175" i="8"/>
  <c r="E175" i="8"/>
  <c r="Z174" i="8"/>
  <c r="Y174" i="8"/>
  <c r="X174" i="8"/>
  <c r="W174" i="8"/>
  <c r="P174" i="8"/>
  <c r="O174" i="8"/>
  <c r="N174" i="8"/>
  <c r="G174" i="8"/>
  <c r="F174" i="8"/>
  <c r="E174" i="8"/>
  <c r="AB172" i="8"/>
  <c r="AA172" i="8"/>
  <c r="Z172" i="8"/>
  <c r="Y172" i="8"/>
  <c r="X172" i="8"/>
  <c r="W172" i="8"/>
  <c r="Q172" i="8"/>
  <c r="P172" i="8"/>
  <c r="O172" i="8"/>
  <c r="N172" i="8"/>
  <c r="H172" i="8"/>
  <c r="G172" i="8"/>
  <c r="F172" i="8"/>
  <c r="E172" i="8"/>
  <c r="Z171" i="8"/>
  <c r="W171" i="8"/>
  <c r="P171" i="8"/>
  <c r="N171" i="8"/>
  <c r="G171" i="8"/>
  <c r="E171" i="8"/>
  <c r="Z170" i="8"/>
  <c r="W170" i="8"/>
  <c r="P170" i="8"/>
  <c r="N170" i="8"/>
  <c r="G170" i="8"/>
  <c r="E170" i="8"/>
  <c r="Z169" i="8"/>
  <c r="W169" i="8"/>
  <c r="P169" i="8"/>
  <c r="N169" i="8"/>
  <c r="G169" i="8"/>
  <c r="E169" i="8"/>
  <c r="Z167" i="8"/>
  <c r="W167" i="8"/>
  <c r="P167" i="8"/>
  <c r="N167" i="8"/>
  <c r="G167" i="8"/>
  <c r="E167" i="8"/>
  <c r="Z166" i="8"/>
  <c r="W166" i="8"/>
  <c r="P166" i="8"/>
  <c r="N166" i="8"/>
  <c r="G166" i="8"/>
  <c r="E166" i="8"/>
  <c r="Z164" i="8"/>
  <c r="W164" i="8"/>
  <c r="P164" i="8"/>
  <c r="N164" i="8"/>
  <c r="G164" i="8"/>
  <c r="E164" i="8"/>
  <c r="Z163" i="8"/>
  <c r="W163" i="8"/>
  <c r="P163" i="8"/>
  <c r="N163" i="8"/>
  <c r="G163" i="8"/>
  <c r="E163" i="8"/>
  <c r="Z161" i="8"/>
  <c r="W161" i="8"/>
  <c r="P161" i="8"/>
  <c r="N161" i="8"/>
  <c r="G161" i="8"/>
  <c r="E161" i="8"/>
  <c r="Z160" i="8"/>
  <c r="W160" i="8"/>
  <c r="P160" i="8"/>
  <c r="N160" i="8"/>
  <c r="G160" i="8"/>
  <c r="E160" i="8"/>
  <c r="Z159" i="8"/>
  <c r="W159" i="8"/>
  <c r="P159" i="8"/>
  <c r="N159" i="8"/>
  <c r="G159" i="8"/>
  <c r="E159" i="8"/>
  <c r="AB158" i="8"/>
  <c r="AA158" i="8"/>
  <c r="Z158" i="8"/>
  <c r="W158" i="8"/>
  <c r="Q158" i="8"/>
  <c r="P158" i="8"/>
  <c r="N158" i="8"/>
  <c r="H158" i="8"/>
  <c r="G158" i="8"/>
  <c r="E158" i="8"/>
  <c r="AB140" i="8"/>
  <c r="AA140" i="8"/>
  <c r="Z140" i="8"/>
  <c r="Y140" i="8"/>
  <c r="W140" i="8"/>
  <c r="W138" i="8"/>
  <c r="C136" i="8"/>
  <c r="L136" i="8" s="1"/>
  <c r="AB132" i="8"/>
  <c r="AA132" i="8"/>
  <c r="Z132" i="8"/>
  <c r="Y132" i="8"/>
  <c r="Q132" i="8"/>
  <c r="P132" i="8"/>
  <c r="H132" i="8"/>
  <c r="G132" i="8"/>
  <c r="AA130" i="8"/>
  <c r="Y130" i="8"/>
  <c r="Z122" i="8"/>
  <c r="W122" i="8"/>
  <c r="P122" i="8"/>
  <c r="N122" i="8"/>
  <c r="G122" i="8"/>
  <c r="E122" i="8"/>
  <c r="Z121" i="8"/>
  <c r="W121" i="8"/>
  <c r="P121" i="8"/>
  <c r="N121" i="8"/>
  <c r="G121" i="8"/>
  <c r="E121" i="8"/>
  <c r="Z120" i="8"/>
  <c r="Y120" i="8"/>
  <c r="X120" i="8"/>
  <c r="W120" i="8"/>
  <c r="P120" i="8"/>
  <c r="O120" i="8"/>
  <c r="N120" i="8"/>
  <c r="G120" i="8"/>
  <c r="F120" i="8"/>
  <c r="E120" i="8"/>
  <c r="Z119" i="8"/>
  <c r="Y119" i="8"/>
  <c r="X119" i="8"/>
  <c r="W119" i="8"/>
  <c r="P119" i="8"/>
  <c r="O119" i="8"/>
  <c r="N119" i="8"/>
  <c r="G119" i="8"/>
  <c r="F119" i="8"/>
  <c r="E119" i="8"/>
  <c r="Z118" i="8"/>
  <c r="Y118" i="8"/>
  <c r="X118" i="8"/>
  <c r="W118" i="8"/>
  <c r="P118" i="8"/>
  <c r="O118" i="8"/>
  <c r="N118" i="8"/>
  <c r="G118" i="8"/>
  <c r="F118" i="8"/>
  <c r="E118" i="8"/>
  <c r="Z117" i="8"/>
  <c r="Y117" i="8"/>
  <c r="X117" i="8"/>
  <c r="W117" i="8"/>
  <c r="P117" i="8"/>
  <c r="O117" i="8"/>
  <c r="N117" i="8"/>
  <c r="G117" i="8"/>
  <c r="F117" i="8"/>
  <c r="E117" i="8"/>
  <c r="AB116" i="8"/>
  <c r="AA116" i="8"/>
  <c r="Z116" i="8"/>
  <c r="W116" i="8"/>
  <c r="Q116" i="8"/>
  <c r="P116" i="8"/>
  <c r="N116" i="8"/>
  <c r="H116" i="8"/>
  <c r="G116" i="8"/>
  <c r="E116" i="8"/>
  <c r="AB115" i="8"/>
  <c r="AA115" i="8"/>
  <c r="Z115" i="8"/>
  <c r="W115" i="8"/>
  <c r="Q115" i="8"/>
  <c r="P115" i="8"/>
  <c r="N115" i="8"/>
  <c r="H115" i="8"/>
  <c r="G115" i="8"/>
  <c r="E115" i="8"/>
  <c r="Z114" i="8"/>
  <c r="W114" i="8"/>
  <c r="P114" i="8"/>
  <c r="N114" i="8"/>
  <c r="G114" i="8"/>
  <c r="E114" i="8"/>
  <c r="Z113" i="8"/>
  <c r="W113" i="8"/>
  <c r="P113" i="8"/>
  <c r="N113" i="8"/>
  <c r="G113" i="8"/>
  <c r="E113" i="8"/>
  <c r="Z112" i="8"/>
  <c r="W112" i="8"/>
  <c r="P112" i="8"/>
  <c r="N112" i="8"/>
  <c r="G112" i="8"/>
  <c r="E112" i="8"/>
  <c r="Z110" i="8"/>
  <c r="W110" i="8"/>
  <c r="P110" i="8"/>
  <c r="N110" i="8"/>
  <c r="G110" i="8"/>
  <c r="E110" i="8"/>
  <c r="Z109" i="8"/>
  <c r="W109" i="8"/>
  <c r="P109" i="8"/>
  <c r="N109" i="8"/>
  <c r="G109" i="8"/>
  <c r="E109" i="8"/>
  <c r="Z108" i="8"/>
  <c r="W108" i="8"/>
  <c r="P108" i="8"/>
  <c r="N108" i="8"/>
  <c r="G108" i="8"/>
  <c r="E108" i="8"/>
  <c r="Z107" i="8"/>
  <c r="W107" i="8"/>
  <c r="P107" i="8"/>
  <c r="N107" i="8"/>
  <c r="G107" i="8"/>
  <c r="E107" i="8"/>
  <c r="Z106" i="8"/>
  <c r="W106" i="8"/>
  <c r="P106" i="8"/>
  <c r="N106" i="8"/>
  <c r="G106" i="8"/>
  <c r="E106" i="8"/>
  <c r="Z105" i="8"/>
  <c r="W105" i="8"/>
  <c r="P105" i="8"/>
  <c r="N105" i="8"/>
  <c r="G105" i="8"/>
  <c r="E105" i="8"/>
  <c r="Z104" i="8"/>
  <c r="Y104" i="8"/>
  <c r="X104" i="8"/>
  <c r="W104" i="8"/>
  <c r="P104" i="8"/>
  <c r="O104" i="8"/>
  <c r="N104" i="8"/>
  <c r="G104" i="8"/>
  <c r="F104" i="8"/>
  <c r="E104" i="8"/>
  <c r="AB102" i="8"/>
  <c r="AA102" i="8"/>
  <c r="Z102" i="8"/>
  <c r="Y102" i="8"/>
  <c r="X102" i="8"/>
  <c r="W102" i="8"/>
  <c r="Q102" i="8"/>
  <c r="P102" i="8"/>
  <c r="O102" i="8"/>
  <c r="N102" i="8"/>
  <c r="H102" i="8"/>
  <c r="G102" i="8"/>
  <c r="F102" i="8"/>
  <c r="E102" i="8"/>
  <c r="Z101" i="8"/>
  <c r="W101" i="8"/>
  <c r="P101" i="8"/>
  <c r="N101" i="8"/>
  <c r="G101" i="8"/>
  <c r="E101" i="8"/>
  <c r="Z100" i="8"/>
  <c r="W100" i="8"/>
  <c r="P100" i="8"/>
  <c r="N100" i="8"/>
  <c r="G100" i="8"/>
  <c r="E100" i="8"/>
  <c r="Z99" i="8"/>
  <c r="W99" i="8"/>
  <c r="P99" i="8"/>
  <c r="N99" i="8"/>
  <c r="G99" i="8"/>
  <c r="E99" i="8"/>
  <c r="Z97" i="8"/>
  <c r="W97" i="8"/>
  <c r="P97" i="8"/>
  <c r="N97" i="8"/>
  <c r="G97" i="8"/>
  <c r="E97" i="8"/>
  <c r="Z96" i="8"/>
  <c r="W96" i="8"/>
  <c r="P96" i="8"/>
  <c r="N96" i="8"/>
  <c r="G96" i="8"/>
  <c r="E96" i="8"/>
  <c r="Z94" i="8"/>
  <c r="W94" i="8"/>
  <c r="P94" i="8"/>
  <c r="N94" i="8"/>
  <c r="G94" i="8"/>
  <c r="E94" i="8"/>
  <c r="Z93" i="8"/>
  <c r="W93" i="8"/>
  <c r="P93" i="8"/>
  <c r="N93" i="8"/>
  <c r="G93" i="8"/>
  <c r="E93" i="8"/>
  <c r="Z91" i="8"/>
  <c r="W91" i="8"/>
  <c r="P91" i="8"/>
  <c r="N91" i="8"/>
  <c r="G91" i="8"/>
  <c r="E91" i="8"/>
  <c r="Z90" i="8"/>
  <c r="W90" i="8"/>
  <c r="P90" i="8"/>
  <c r="N90" i="8"/>
  <c r="G90" i="8"/>
  <c r="E90" i="8"/>
  <c r="Z89" i="8"/>
  <c r="W89" i="8"/>
  <c r="P89" i="8"/>
  <c r="N89" i="8"/>
  <c r="G89" i="8"/>
  <c r="E89" i="8"/>
  <c r="AB88" i="8"/>
  <c r="AA88" i="8"/>
  <c r="Z88" i="8"/>
  <c r="W88" i="8"/>
  <c r="Q88" i="8"/>
  <c r="P88" i="8"/>
  <c r="N88" i="8"/>
  <c r="H88" i="8"/>
  <c r="G88" i="8"/>
  <c r="E88" i="8"/>
  <c r="AB70" i="8"/>
  <c r="AA70" i="8"/>
  <c r="Z70" i="8"/>
  <c r="Y70" i="8"/>
  <c r="W70" i="8"/>
  <c r="W68" i="8"/>
  <c r="AB62" i="8"/>
  <c r="AA62" i="8"/>
  <c r="AA60" i="8"/>
  <c r="Z62" i="8"/>
  <c r="Y62" i="8"/>
  <c r="Y60" i="8"/>
  <c r="AB46" i="8"/>
  <c r="AB45" i="8"/>
  <c r="AB32" i="8"/>
  <c r="AB18" i="8"/>
  <c r="AA46" i="8"/>
  <c r="AA45" i="8"/>
  <c r="AA32" i="8"/>
  <c r="AA18" i="8"/>
  <c r="Z52" i="8"/>
  <c r="Z51" i="8"/>
  <c r="Z50" i="8"/>
  <c r="Z49" i="8"/>
  <c r="Z48" i="8"/>
  <c r="Z47" i="8"/>
  <c r="Z46" i="8"/>
  <c r="Z45" i="8"/>
  <c r="Z44" i="8"/>
  <c r="Z43" i="8"/>
  <c r="Z42" i="8"/>
  <c r="Z40" i="8"/>
  <c r="Z39" i="8"/>
  <c r="Z38" i="8"/>
  <c r="Z37" i="8"/>
  <c r="Z36" i="8"/>
  <c r="Z35" i="8"/>
  <c r="Z34" i="8"/>
  <c r="Z32" i="8"/>
  <c r="Z31" i="8"/>
  <c r="Z30" i="8"/>
  <c r="Z29" i="8"/>
  <c r="Z27" i="8"/>
  <c r="Z26" i="8"/>
  <c r="Z24" i="8"/>
  <c r="Z23" i="8"/>
  <c r="Z21" i="8"/>
  <c r="Z20" i="8"/>
  <c r="Z19" i="8"/>
  <c r="Z18" i="8"/>
  <c r="Y50" i="8"/>
  <c r="Y49" i="8"/>
  <c r="Y48" i="8"/>
  <c r="Y47" i="8"/>
  <c r="Y34" i="8"/>
  <c r="Y32" i="8"/>
  <c r="X50" i="8"/>
  <c r="X49" i="8"/>
  <c r="X48" i="8"/>
  <c r="X47" i="8"/>
  <c r="X34" i="8"/>
  <c r="X32" i="8"/>
  <c r="W52" i="8"/>
  <c r="W51" i="8"/>
  <c r="W50" i="8"/>
  <c r="W49" i="8"/>
  <c r="W48" i="8"/>
  <c r="W47" i="8"/>
  <c r="W46" i="8"/>
  <c r="W45" i="8"/>
  <c r="W44" i="8"/>
  <c r="W43" i="8"/>
  <c r="W42" i="8"/>
  <c r="W40" i="8"/>
  <c r="W39" i="8"/>
  <c r="W38" i="8"/>
  <c r="W37" i="8"/>
  <c r="W36" i="8"/>
  <c r="W35" i="8"/>
  <c r="W34" i="8"/>
  <c r="W32" i="8"/>
  <c r="W31" i="8"/>
  <c r="W30" i="8"/>
  <c r="W29" i="8"/>
  <c r="W27" i="8"/>
  <c r="W26" i="8"/>
  <c r="W24" i="8"/>
  <c r="W23" i="8"/>
  <c r="W21" i="8"/>
  <c r="W20" i="8"/>
  <c r="W19" i="8"/>
  <c r="W18" i="8"/>
  <c r="P52" i="8"/>
  <c r="N52" i="8"/>
  <c r="P51" i="8"/>
  <c r="N51" i="8"/>
  <c r="P50" i="8"/>
  <c r="O50" i="8"/>
  <c r="N50" i="8"/>
  <c r="P49" i="8"/>
  <c r="O49" i="8"/>
  <c r="N49" i="8"/>
  <c r="P48" i="8"/>
  <c r="O48" i="8"/>
  <c r="N48" i="8"/>
  <c r="P47" i="8"/>
  <c r="O47" i="8"/>
  <c r="N47" i="8"/>
  <c r="Q46" i="8"/>
  <c r="P46" i="8"/>
  <c r="N46" i="8"/>
  <c r="Q45" i="8"/>
  <c r="P45" i="8"/>
  <c r="N45" i="8"/>
  <c r="P44" i="8"/>
  <c r="N44" i="8"/>
  <c r="P43" i="8"/>
  <c r="N43" i="8"/>
  <c r="P42" i="8"/>
  <c r="N42" i="8"/>
  <c r="P40" i="8"/>
  <c r="N40" i="8"/>
  <c r="P39" i="8"/>
  <c r="N39" i="8"/>
  <c r="P38" i="8"/>
  <c r="N38" i="8"/>
  <c r="P37" i="8"/>
  <c r="N37" i="8"/>
  <c r="P36" i="8"/>
  <c r="N36" i="8"/>
  <c r="P35" i="8"/>
  <c r="N35" i="8"/>
  <c r="P34" i="8"/>
  <c r="O34" i="8"/>
  <c r="N34" i="8"/>
  <c r="Q32" i="8"/>
  <c r="P32" i="8"/>
  <c r="O32" i="8"/>
  <c r="N32" i="8"/>
  <c r="P31" i="8"/>
  <c r="N31" i="8"/>
  <c r="P30" i="8"/>
  <c r="N30" i="8"/>
  <c r="P29" i="8"/>
  <c r="N29" i="8"/>
  <c r="P27" i="8"/>
  <c r="N27" i="8"/>
  <c r="P26" i="8"/>
  <c r="N26" i="8"/>
  <c r="P24" i="8"/>
  <c r="N24" i="8"/>
  <c r="P23" i="8"/>
  <c r="N23" i="8"/>
  <c r="P21" i="8"/>
  <c r="N21" i="8"/>
  <c r="P20" i="8"/>
  <c r="N20" i="8"/>
  <c r="P19" i="8"/>
  <c r="N19" i="8"/>
  <c r="Q18" i="8"/>
  <c r="P18" i="8"/>
  <c r="N18" i="8"/>
  <c r="Q62" i="8"/>
  <c r="P62" i="8"/>
  <c r="H62" i="8"/>
  <c r="G62" i="8"/>
  <c r="G52" i="8"/>
  <c r="E52" i="8"/>
  <c r="G51" i="8"/>
  <c r="E51" i="8"/>
  <c r="G50" i="8"/>
  <c r="F50" i="8"/>
  <c r="E50" i="8"/>
  <c r="G49" i="8"/>
  <c r="F49" i="8"/>
  <c r="E49" i="8"/>
  <c r="G48" i="8"/>
  <c r="F48" i="8"/>
  <c r="E48" i="8"/>
  <c r="G47" i="8"/>
  <c r="F47" i="8"/>
  <c r="E47" i="8"/>
  <c r="H46" i="8"/>
  <c r="G46" i="8"/>
  <c r="E46" i="8"/>
  <c r="H45" i="8"/>
  <c r="G45" i="8"/>
  <c r="E45" i="8"/>
  <c r="H44" i="8"/>
  <c r="G44" i="8"/>
  <c r="F44" i="8"/>
  <c r="E44" i="8"/>
  <c r="H43" i="8"/>
  <c r="G43" i="8"/>
  <c r="F43" i="8"/>
  <c r="E43" i="8"/>
  <c r="H42" i="8"/>
  <c r="G42" i="8"/>
  <c r="F42" i="8"/>
  <c r="E42" i="8"/>
  <c r="G40" i="8"/>
  <c r="E40" i="8"/>
  <c r="G39" i="8"/>
  <c r="E39" i="8"/>
  <c r="G38" i="8"/>
  <c r="E38" i="8"/>
  <c r="G37" i="8"/>
  <c r="E37" i="8"/>
  <c r="G36" i="8"/>
  <c r="E36" i="8"/>
  <c r="G35" i="8"/>
  <c r="E35" i="8"/>
  <c r="G34" i="8"/>
  <c r="F34" i="8"/>
  <c r="E34" i="8"/>
  <c r="H32" i="8"/>
  <c r="G32" i="8"/>
  <c r="F32" i="8"/>
  <c r="E32" i="8"/>
  <c r="G31" i="8"/>
  <c r="E31" i="8"/>
  <c r="G30" i="8"/>
  <c r="E30" i="8"/>
  <c r="G29" i="8"/>
  <c r="E29" i="8"/>
  <c r="G27" i="8"/>
  <c r="E27" i="8"/>
  <c r="G26" i="8"/>
  <c r="E26" i="8"/>
  <c r="G24" i="8"/>
  <c r="E24" i="8"/>
  <c r="G23" i="8"/>
  <c r="E23" i="8"/>
  <c r="G21" i="8"/>
  <c r="E21" i="8"/>
  <c r="G20" i="8"/>
  <c r="E20" i="8"/>
  <c r="G19" i="8"/>
  <c r="E19" i="8"/>
  <c r="H18" i="8"/>
  <c r="G18" i="8"/>
  <c r="E18" i="8"/>
  <c r="U766" i="8" l="1"/>
  <c r="U696" i="8"/>
  <c r="U626" i="8"/>
  <c r="U556" i="8"/>
  <c r="U486" i="8"/>
  <c r="U416" i="8"/>
  <c r="U346" i="8"/>
  <c r="U276" i="8"/>
  <c r="U206" i="8"/>
  <c r="U136" i="8"/>
  <c r="BK34" i="2" l="1"/>
  <c r="AX72" i="5" s="1"/>
  <c r="BJ34" i="2"/>
  <c r="AW72" i="5" s="1"/>
  <c r="BF34" i="2"/>
  <c r="AT72" i="5" s="1"/>
  <c r="BE34" i="2"/>
  <c r="AS72" i="5" s="1"/>
  <c r="BA34" i="2"/>
  <c r="AP72" i="5" s="1"/>
  <c r="AZ34" i="2"/>
  <c r="AO72" i="5" s="1"/>
  <c r="AV34" i="2"/>
  <c r="AL72" i="5" s="1"/>
  <c r="AU34" i="2"/>
  <c r="AK84" i="5" s="1"/>
  <c r="AQ34" i="2"/>
  <c r="AH72" i="5" s="1"/>
  <c r="AP34" i="2"/>
  <c r="AG72" i="5" s="1"/>
  <c r="AL34" i="2"/>
  <c r="AD72" i="5" s="1"/>
  <c r="AK34" i="2"/>
  <c r="AC84" i="5" s="1"/>
  <c r="AG34" i="2"/>
  <c r="Z72" i="5" s="1"/>
  <c r="AF34" i="2"/>
  <c r="Y72" i="5" s="1"/>
  <c r="AB34" i="2"/>
  <c r="V72" i="5" s="1"/>
  <c r="AA34" i="2"/>
  <c r="U84" i="5" s="1"/>
  <c r="W34" i="2"/>
  <c r="R72" i="5" s="1"/>
  <c r="V34" i="2"/>
  <c r="Q72" i="5" s="1"/>
  <c r="AD84" i="5"/>
  <c r="BK43" i="2"/>
  <c r="BK42" i="2"/>
  <c r="Q737" i="6" s="1"/>
  <c r="Q737" i="8" s="1"/>
  <c r="BJ43" i="2"/>
  <c r="BJ42" i="2"/>
  <c r="O737" i="6" s="1"/>
  <c r="O737" i="8" s="1"/>
  <c r="BF43" i="2"/>
  <c r="BF42" i="2"/>
  <c r="Q667" i="6" s="1"/>
  <c r="Q667" i="8" s="1"/>
  <c r="BE43" i="2"/>
  <c r="BE42" i="2"/>
  <c r="O667" i="6" s="1"/>
  <c r="O667" i="8" s="1"/>
  <c r="BA43" i="2"/>
  <c r="BA42" i="2"/>
  <c r="Q597" i="6" s="1"/>
  <c r="Q597" i="8" s="1"/>
  <c r="AZ43" i="2"/>
  <c r="AZ42" i="2"/>
  <c r="O597" i="6" s="1"/>
  <c r="O597" i="8" s="1"/>
  <c r="AV43" i="2"/>
  <c r="AV42" i="2"/>
  <c r="Q527" i="6" s="1"/>
  <c r="Q527" i="8" s="1"/>
  <c r="AU43" i="2"/>
  <c r="AU42" i="2"/>
  <c r="O527" i="6" s="1"/>
  <c r="O527" i="8" s="1"/>
  <c r="AQ43" i="2"/>
  <c r="AQ42" i="2"/>
  <c r="Q457" i="6" s="1"/>
  <c r="Q457" i="8" s="1"/>
  <c r="AP43" i="2"/>
  <c r="AP42" i="2"/>
  <c r="O457" i="6" s="1"/>
  <c r="O457" i="8" s="1"/>
  <c r="AL43" i="2"/>
  <c r="AL42" i="2"/>
  <c r="Q387" i="6" s="1"/>
  <c r="Q387" i="8" s="1"/>
  <c r="AK43" i="2"/>
  <c r="AK42" i="2"/>
  <c r="O387" i="6" s="1"/>
  <c r="O387" i="8" s="1"/>
  <c r="AG43" i="2"/>
  <c r="AG42" i="2"/>
  <c r="Q317" i="6" s="1"/>
  <c r="AF43" i="2"/>
  <c r="AF42" i="2"/>
  <c r="O317" i="6" s="1"/>
  <c r="AB43" i="2"/>
  <c r="AB42" i="2"/>
  <c r="Q247" i="6" s="1"/>
  <c r="Q247" i="8" s="1"/>
  <c r="AA43" i="2"/>
  <c r="AA42" i="2"/>
  <c r="O247" i="6" s="1"/>
  <c r="O247" i="8" s="1"/>
  <c r="W43" i="2"/>
  <c r="W42" i="2"/>
  <c r="V43" i="2"/>
  <c r="V42" i="2"/>
  <c r="O177" i="6" l="1"/>
  <c r="O177" i="8" s="1"/>
  <c r="Q177" i="6"/>
  <c r="Q177" i="8" s="1"/>
  <c r="AS84" i="5"/>
  <c r="AC72" i="5"/>
  <c r="AL84" i="5"/>
  <c r="R84" i="5"/>
  <c r="Z84" i="5"/>
  <c r="AT84" i="5"/>
  <c r="AH84" i="5"/>
  <c r="AO84" i="5"/>
  <c r="AW84" i="5"/>
  <c r="AP84" i="5"/>
  <c r="AX84" i="5"/>
  <c r="Y84" i="5"/>
  <c r="U72" i="5"/>
  <c r="V84" i="5"/>
  <c r="AG84" i="5"/>
  <c r="AK72" i="5"/>
  <c r="Q84" i="5"/>
  <c r="X44" i="6" l="1"/>
  <c r="X44" i="8" s="1"/>
  <c r="AA44" i="6" l="1"/>
  <c r="AA44" i="8" s="1"/>
  <c r="AA43" i="6"/>
  <c r="AA43" i="8" s="1"/>
  <c r="X43" i="6"/>
  <c r="X43" i="8" s="1"/>
  <c r="AA42" i="6"/>
  <c r="AA42" i="8" s="1"/>
  <c r="X42" i="6"/>
  <c r="X42" i="8" s="1"/>
  <c r="BK45" i="2" l="1"/>
  <c r="BJ45" i="2"/>
  <c r="BF45" i="2"/>
  <c r="BE45" i="2"/>
  <c r="BA45" i="2"/>
  <c r="AZ45" i="2"/>
  <c r="AV45" i="2"/>
  <c r="AU45" i="2"/>
  <c r="AQ45" i="2"/>
  <c r="AP45" i="2"/>
  <c r="AL45" i="2"/>
  <c r="AK45" i="2"/>
  <c r="AG45" i="2"/>
  <c r="AF45" i="2"/>
  <c r="AB45" i="2"/>
  <c r="AA45" i="2"/>
  <c r="W45" i="2"/>
  <c r="V45" i="2"/>
  <c r="BK44" i="2"/>
  <c r="BJ44" i="2"/>
  <c r="BF44" i="2"/>
  <c r="BE44" i="2"/>
  <c r="BA44" i="2"/>
  <c r="AZ44" i="2"/>
  <c r="AV44" i="2"/>
  <c r="AU44" i="2"/>
  <c r="AQ44" i="2"/>
  <c r="AP44" i="2"/>
  <c r="AL44" i="2"/>
  <c r="AK44" i="2"/>
  <c r="AG44" i="2"/>
  <c r="AF44" i="2"/>
  <c r="AB44" i="2"/>
  <c r="AA44" i="2"/>
  <c r="W44" i="2"/>
  <c r="V44" i="2"/>
  <c r="BK41" i="2"/>
  <c r="BJ41" i="2"/>
  <c r="BF41" i="2"/>
  <c r="BE41" i="2"/>
  <c r="BA41" i="2"/>
  <c r="AZ41" i="2"/>
  <c r="AV41" i="2"/>
  <c r="AU41" i="2"/>
  <c r="AQ41" i="2"/>
  <c r="AP41" i="2"/>
  <c r="AL41" i="2"/>
  <c r="AK41" i="2"/>
  <c r="AG41" i="2"/>
  <c r="AF41" i="2"/>
  <c r="AB41" i="2"/>
  <c r="AA41" i="2"/>
  <c r="W41" i="2"/>
  <c r="V41" i="2"/>
  <c r="BK40" i="2"/>
  <c r="BJ40" i="2"/>
  <c r="BF40" i="2"/>
  <c r="BE40" i="2"/>
  <c r="BA40" i="2"/>
  <c r="AZ40" i="2"/>
  <c r="AV40" i="2"/>
  <c r="AU40" i="2"/>
  <c r="AQ40" i="2"/>
  <c r="AP40" i="2"/>
  <c r="AL40" i="2"/>
  <c r="AK40" i="2"/>
  <c r="AG40" i="2"/>
  <c r="AF40" i="2"/>
  <c r="AB40" i="2"/>
  <c r="AA40" i="2"/>
  <c r="W40" i="2"/>
  <c r="V40" i="2"/>
  <c r="V32" i="2"/>
  <c r="W32" i="2"/>
  <c r="AA32" i="2"/>
  <c r="AB32" i="2"/>
  <c r="AF32" i="2"/>
  <c r="AG32" i="2"/>
  <c r="AK32" i="2"/>
  <c r="AL32" i="2"/>
  <c r="AP32" i="2"/>
  <c r="AQ32" i="2"/>
  <c r="AU32" i="2"/>
  <c r="AV32" i="2"/>
  <c r="AZ32" i="2"/>
  <c r="BA32" i="2"/>
  <c r="BE32" i="2"/>
  <c r="BF32" i="2"/>
  <c r="BJ32" i="2"/>
  <c r="BK32" i="2"/>
  <c r="BK31" i="2"/>
  <c r="BJ31" i="2"/>
  <c r="BF31" i="2"/>
  <c r="BE31" i="2"/>
  <c r="BA31" i="2"/>
  <c r="AZ31" i="2"/>
  <c r="AV31" i="2"/>
  <c r="AU31" i="2"/>
  <c r="AQ31" i="2"/>
  <c r="AP31" i="2"/>
  <c r="AL31" i="2"/>
  <c r="AK31" i="2"/>
  <c r="AG31" i="2"/>
  <c r="AF31" i="2"/>
  <c r="AB31" i="2"/>
  <c r="AA31" i="2"/>
  <c r="W31" i="2"/>
  <c r="V31" i="2"/>
  <c r="BK29" i="2"/>
  <c r="BJ29" i="2"/>
  <c r="BF29" i="2"/>
  <c r="BE29" i="2"/>
  <c r="BA29" i="2"/>
  <c r="AZ29" i="2"/>
  <c r="AV29" i="2"/>
  <c r="AU29" i="2"/>
  <c r="AQ29" i="2"/>
  <c r="AP29" i="2"/>
  <c r="AL29" i="2"/>
  <c r="AK29" i="2"/>
  <c r="AG29" i="2"/>
  <c r="AF29" i="2"/>
  <c r="AB29" i="2"/>
  <c r="AA29" i="2"/>
  <c r="W29" i="2"/>
  <c r="V29" i="2"/>
  <c r="BK26" i="2"/>
  <c r="BJ26" i="2"/>
  <c r="BF26" i="2"/>
  <c r="BE26" i="2"/>
  <c r="BA26" i="2"/>
  <c r="AZ26" i="2"/>
  <c r="AV26" i="2"/>
  <c r="AU26" i="2"/>
  <c r="AQ26" i="2"/>
  <c r="AP26" i="2"/>
  <c r="AL26" i="2"/>
  <c r="AK26" i="2"/>
  <c r="AG26" i="2"/>
  <c r="AF26" i="2"/>
  <c r="AB26" i="2"/>
  <c r="AA26" i="2"/>
  <c r="W26" i="2"/>
  <c r="V26" i="2"/>
  <c r="I25" i="2" l="1"/>
  <c r="H61" i="1" l="1"/>
  <c r="BK69" i="2" l="1"/>
  <c r="BK68" i="2"/>
  <c r="BK66" i="2"/>
  <c r="BK63" i="2"/>
  <c r="BK62" i="2"/>
  <c r="BJ69" i="2"/>
  <c r="BJ68" i="2"/>
  <c r="BJ66" i="2"/>
  <c r="BJ63" i="2"/>
  <c r="BJ62" i="2"/>
  <c r="BK36" i="2"/>
  <c r="BK35" i="2"/>
  <c r="BJ36" i="2"/>
  <c r="BJ35" i="2"/>
  <c r="BF69" i="2"/>
  <c r="BF68" i="2"/>
  <c r="BF66" i="2"/>
  <c r="BF63" i="2"/>
  <c r="BF62" i="2"/>
  <c r="BE69" i="2"/>
  <c r="BE68" i="2"/>
  <c r="BE66" i="2"/>
  <c r="BE63" i="2"/>
  <c r="BE62" i="2"/>
  <c r="BF36" i="2"/>
  <c r="BF35" i="2"/>
  <c r="Q660" i="6" s="1"/>
  <c r="Q660" i="8" s="1"/>
  <c r="BE36" i="2"/>
  <c r="BE35" i="2"/>
  <c r="BA69" i="2"/>
  <c r="BA68" i="2"/>
  <c r="BA66" i="2"/>
  <c r="BA63" i="2"/>
  <c r="BA62" i="2"/>
  <c r="AZ69" i="2"/>
  <c r="AZ68" i="2"/>
  <c r="AZ66" i="2"/>
  <c r="AZ63" i="2"/>
  <c r="AZ62" i="2"/>
  <c r="BA36" i="2"/>
  <c r="BA35" i="2"/>
  <c r="AZ36" i="2"/>
  <c r="AZ35" i="2"/>
  <c r="AV69" i="2"/>
  <c r="AV68" i="2"/>
  <c r="AV66" i="2"/>
  <c r="AV63" i="2"/>
  <c r="AV62" i="2"/>
  <c r="AU69" i="2"/>
  <c r="AU68" i="2"/>
  <c r="AU66" i="2"/>
  <c r="AU63" i="2"/>
  <c r="AU62" i="2"/>
  <c r="AV36" i="2"/>
  <c r="AV35" i="2"/>
  <c r="AU36" i="2"/>
  <c r="AU35" i="2"/>
  <c r="AQ69" i="2"/>
  <c r="AQ68" i="2"/>
  <c r="AQ66" i="2"/>
  <c r="AQ63" i="2"/>
  <c r="AQ62" i="2"/>
  <c r="AP69" i="2"/>
  <c r="AP68" i="2"/>
  <c r="AP66" i="2"/>
  <c r="AP63" i="2"/>
  <c r="AP62" i="2"/>
  <c r="AQ36" i="2"/>
  <c r="AQ35" i="2"/>
  <c r="Q450" i="6" s="1"/>
  <c r="Q450" i="8" s="1"/>
  <c r="AP36" i="2"/>
  <c r="AP35" i="2"/>
  <c r="AL69" i="2"/>
  <c r="AL68" i="2"/>
  <c r="AL66" i="2"/>
  <c r="AL63" i="2"/>
  <c r="AL62" i="2"/>
  <c r="AK69" i="2"/>
  <c r="AK68" i="2"/>
  <c r="AK66" i="2"/>
  <c r="AK63" i="2"/>
  <c r="AK62" i="2"/>
  <c r="AL36" i="2"/>
  <c r="AL35" i="2"/>
  <c r="AK36" i="2"/>
  <c r="AK35" i="2"/>
  <c r="AG69" i="2"/>
  <c r="AG68" i="2"/>
  <c r="AG66" i="2"/>
  <c r="AG63" i="2"/>
  <c r="AG62" i="2"/>
  <c r="AF69" i="2"/>
  <c r="AF68" i="2"/>
  <c r="AF66" i="2"/>
  <c r="AF63" i="2"/>
  <c r="AF62" i="2"/>
  <c r="AG36" i="2"/>
  <c r="AG35" i="2"/>
  <c r="AF36" i="2"/>
  <c r="AF35" i="2"/>
  <c r="AB69" i="2"/>
  <c r="AB68" i="2"/>
  <c r="AB66" i="2"/>
  <c r="AB63" i="2"/>
  <c r="AB62" i="2"/>
  <c r="AA62" i="2"/>
  <c r="AB36" i="2"/>
  <c r="AB35" i="2"/>
  <c r="AA36" i="2"/>
  <c r="AA35" i="2"/>
  <c r="W62" i="2" l="1"/>
  <c r="V62" i="2"/>
  <c r="W36" i="2"/>
  <c r="W35" i="2"/>
  <c r="V36" i="2"/>
  <c r="V35" i="2"/>
  <c r="H23" i="1"/>
  <c r="H20" i="1"/>
  <c r="D7" i="1" l="1"/>
  <c r="D6" i="1"/>
  <c r="AX75" i="5" l="1"/>
  <c r="AX77" i="5"/>
  <c r="AX80" i="5"/>
  <c r="AW75" i="5"/>
  <c r="AW77" i="5"/>
  <c r="AW80" i="5"/>
  <c r="AT75" i="5"/>
  <c r="AT77" i="5"/>
  <c r="AT80" i="5"/>
  <c r="AS75" i="5"/>
  <c r="AS77" i="5"/>
  <c r="AS80" i="5"/>
  <c r="AP75" i="5"/>
  <c r="AP77" i="5"/>
  <c r="AP80" i="5"/>
  <c r="AO75" i="5"/>
  <c r="AO77" i="5"/>
  <c r="AO80" i="5"/>
  <c r="AL75" i="5"/>
  <c r="AL77" i="5"/>
  <c r="AL80" i="5"/>
  <c r="AK75" i="5"/>
  <c r="AK77" i="5"/>
  <c r="AK80" i="5"/>
  <c r="AH75" i="5"/>
  <c r="AH77" i="5"/>
  <c r="AH80" i="5"/>
  <c r="AG75" i="5"/>
  <c r="AG77" i="5"/>
  <c r="AG80" i="5"/>
  <c r="AD75" i="5"/>
  <c r="AD77" i="5"/>
  <c r="AD80" i="5"/>
  <c r="AC75" i="5"/>
  <c r="AC77" i="5"/>
  <c r="AC80" i="5"/>
  <c r="Z75" i="5"/>
  <c r="Z77" i="5"/>
  <c r="Z80" i="5"/>
  <c r="Y75" i="5"/>
  <c r="Y77" i="5"/>
  <c r="Y80" i="5"/>
  <c r="V75" i="5"/>
  <c r="V77" i="5"/>
  <c r="V80" i="5"/>
  <c r="U75" i="5"/>
  <c r="U77" i="5"/>
  <c r="U80" i="5"/>
  <c r="R75" i="5"/>
  <c r="R77" i="5"/>
  <c r="R80" i="5"/>
  <c r="Q75" i="5"/>
  <c r="Q77" i="5"/>
  <c r="Q80" i="5"/>
  <c r="Q752" i="6"/>
  <c r="Q752" i="8" s="1"/>
  <c r="Q751" i="6"/>
  <c r="Q751" i="8" s="1"/>
  <c r="Q750" i="6"/>
  <c r="Q750" i="8" s="1"/>
  <c r="Q749" i="6"/>
  <c r="Q749" i="8" s="1"/>
  <c r="Q748" i="6"/>
  <c r="Q748" i="8" s="1"/>
  <c r="Q747" i="6"/>
  <c r="Q747" i="8" s="1"/>
  <c r="O752" i="6"/>
  <c r="O752" i="8" s="1"/>
  <c r="O751" i="6"/>
  <c r="O751" i="8" s="1"/>
  <c r="O746" i="6"/>
  <c r="O746" i="8" s="1"/>
  <c r="O745" i="6"/>
  <c r="Q734" i="6"/>
  <c r="Q734" i="8" s="1"/>
  <c r="Q729" i="6"/>
  <c r="Q729" i="8" s="1"/>
  <c r="O729" i="6"/>
  <c r="O729" i="8" s="1"/>
  <c r="O719" i="6"/>
  <c r="O719" i="8" s="1"/>
  <c r="Q719" i="6"/>
  <c r="Q719" i="8" s="1"/>
  <c r="O718" i="6"/>
  <c r="O718" i="8" s="1"/>
  <c r="C766" i="6"/>
  <c r="L766" i="6" s="1"/>
  <c r="AA764" i="6"/>
  <c r="AH738" i="6" s="1"/>
  <c r="Y764" i="6"/>
  <c r="AG738" i="6" s="1"/>
  <c r="Z733" i="6"/>
  <c r="Z733" i="8" s="1"/>
  <c r="W733" i="6"/>
  <c r="W733" i="8" s="1"/>
  <c r="P733" i="6"/>
  <c r="P733" i="8" s="1"/>
  <c r="N733" i="6"/>
  <c r="N733" i="8" s="1"/>
  <c r="G733" i="6"/>
  <c r="G733" i="8" s="1"/>
  <c r="E733" i="6"/>
  <c r="E733" i="8" s="1"/>
  <c r="Z728" i="6"/>
  <c r="Z728" i="8" s="1"/>
  <c r="W728" i="6"/>
  <c r="W728" i="8" s="1"/>
  <c r="P728" i="6"/>
  <c r="P728" i="8" s="1"/>
  <c r="N728" i="6"/>
  <c r="N728" i="8" s="1"/>
  <c r="G728" i="6"/>
  <c r="G728" i="8" s="1"/>
  <c r="E728" i="6"/>
  <c r="E728" i="8" s="1"/>
  <c r="Z725" i="6"/>
  <c r="Z725" i="8" s="1"/>
  <c r="W725" i="6"/>
  <c r="W725" i="8" s="1"/>
  <c r="P725" i="6"/>
  <c r="P725" i="8" s="1"/>
  <c r="N725" i="6"/>
  <c r="N725" i="8" s="1"/>
  <c r="G725" i="6"/>
  <c r="G725" i="8" s="1"/>
  <c r="E725" i="6"/>
  <c r="E725" i="8" s="1"/>
  <c r="Z722" i="6"/>
  <c r="Z722" i="8" s="1"/>
  <c r="W722" i="6"/>
  <c r="W722" i="8" s="1"/>
  <c r="P722" i="6"/>
  <c r="P722" i="8" s="1"/>
  <c r="N722" i="6"/>
  <c r="N722" i="8" s="1"/>
  <c r="G722" i="6"/>
  <c r="G722" i="8" s="1"/>
  <c r="E722" i="6"/>
  <c r="E722" i="8" s="1"/>
  <c r="Z717" i="6"/>
  <c r="Z717" i="8" s="1"/>
  <c r="W717" i="6"/>
  <c r="W717" i="8" s="1"/>
  <c r="P717" i="6"/>
  <c r="P717" i="8" s="1"/>
  <c r="N717" i="6"/>
  <c r="N717" i="8" s="1"/>
  <c r="G717" i="6"/>
  <c r="G717" i="8" s="1"/>
  <c r="E717" i="6"/>
  <c r="E717" i="8" s="1"/>
  <c r="Q682" i="6"/>
  <c r="Q682" i="8" s="1"/>
  <c r="Q681" i="6"/>
  <c r="Q681" i="8" s="1"/>
  <c r="Q680" i="6"/>
  <c r="Q680" i="8" s="1"/>
  <c r="Q679" i="6"/>
  <c r="Q679" i="8" s="1"/>
  <c r="Q678" i="6"/>
  <c r="Q678" i="8" s="1"/>
  <c r="O682" i="6"/>
  <c r="O682" i="8" s="1"/>
  <c r="O681" i="6"/>
  <c r="O681" i="8" s="1"/>
  <c r="O676" i="6"/>
  <c r="O676" i="8" s="1"/>
  <c r="Q677" i="6"/>
  <c r="Q677" i="8" s="1"/>
  <c r="O675" i="6"/>
  <c r="Q664" i="6"/>
  <c r="Q664" i="8" s="1"/>
  <c r="Q659" i="6"/>
  <c r="Q659" i="8" s="1"/>
  <c r="O659" i="6"/>
  <c r="O659" i="8" s="1"/>
  <c r="O649" i="6"/>
  <c r="O649" i="8" s="1"/>
  <c r="Q649" i="6"/>
  <c r="Q649" i="8" s="1"/>
  <c r="O648" i="6"/>
  <c r="O648" i="8" s="1"/>
  <c r="C696" i="6"/>
  <c r="U696" i="6" s="1"/>
  <c r="AA694" i="6"/>
  <c r="AH668" i="6" s="1"/>
  <c r="Y694" i="6"/>
  <c r="AG668" i="6" s="1"/>
  <c r="Z663" i="6"/>
  <c r="Z663" i="8" s="1"/>
  <c r="W663" i="6"/>
  <c r="W663" i="8" s="1"/>
  <c r="P663" i="6"/>
  <c r="P663" i="8" s="1"/>
  <c r="N663" i="6"/>
  <c r="N663" i="8" s="1"/>
  <c r="G663" i="6"/>
  <c r="G663" i="8" s="1"/>
  <c r="E663" i="6"/>
  <c r="E663" i="8" s="1"/>
  <c r="Z658" i="6"/>
  <c r="Z658" i="8" s="1"/>
  <c r="W658" i="6"/>
  <c r="W658" i="8" s="1"/>
  <c r="P658" i="6"/>
  <c r="P658" i="8" s="1"/>
  <c r="N658" i="6"/>
  <c r="N658" i="8" s="1"/>
  <c r="G658" i="6"/>
  <c r="G658" i="8" s="1"/>
  <c r="E658" i="6"/>
  <c r="E658" i="8" s="1"/>
  <c r="Z655" i="6"/>
  <c r="Z655" i="8" s="1"/>
  <c r="W655" i="6"/>
  <c r="W655" i="8" s="1"/>
  <c r="P655" i="6"/>
  <c r="P655" i="8" s="1"/>
  <c r="N655" i="6"/>
  <c r="N655" i="8" s="1"/>
  <c r="G655" i="6"/>
  <c r="G655" i="8" s="1"/>
  <c r="E655" i="6"/>
  <c r="E655" i="8" s="1"/>
  <c r="Z652" i="6"/>
  <c r="Z652" i="8" s="1"/>
  <c r="W652" i="6"/>
  <c r="W652" i="8" s="1"/>
  <c r="P652" i="6"/>
  <c r="P652" i="8" s="1"/>
  <c r="N652" i="6"/>
  <c r="N652" i="8" s="1"/>
  <c r="G652" i="6"/>
  <c r="G652" i="8" s="1"/>
  <c r="E652" i="6"/>
  <c r="E652" i="8" s="1"/>
  <c r="Z647" i="6"/>
  <c r="Z647" i="8" s="1"/>
  <c r="W647" i="6"/>
  <c r="W647" i="8" s="1"/>
  <c r="P647" i="6"/>
  <c r="P647" i="8" s="1"/>
  <c r="N647" i="6"/>
  <c r="N647" i="8" s="1"/>
  <c r="G647" i="6"/>
  <c r="G647" i="8" s="1"/>
  <c r="E647" i="6"/>
  <c r="E647" i="8" s="1"/>
  <c r="Q612" i="6"/>
  <c r="Q612" i="8" s="1"/>
  <c r="Q611" i="6"/>
  <c r="Q611" i="8" s="1"/>
  <c r="Q610" i="6"/>
  <c r="Q610" i="8" s="1"/>
  <c r="Q609" i="6"/>
  <c r="Q609" i="8" s="1"/>
  <c r="Q608" i="6"/>
  <c r="Q608" i="8" s="1"/>
  <c r="O612" i="6"/>
  <c r="O612" i="8" s="1"/>
  <c r="O611" i="6"/>
  <c r="O611" i="8" s="1"/>
  <c r="O606" i="6"/>
  <c r="O606" i="8" s="1"/>
  <c r="Q607" i="6"/>
  <c r="Q607" i="8" s="1"/>
  <c r="O605" i="6"/>
  <c r="Q594" i="6"/>
  <c r="Q594" i="8" s="1"/>
  <c r="Q589" i="6"/>
  <c r="Q589" i="8" s="1"/>
  <c r="O589" i="6"/>
  <c r="O589" i="8" s="1"/>
  <c r="O579" i="6"/>
  <c r="O579" i="8" s="1"/>
  <c r="Q579" i="6"/>
  <c r="Q579" i="8" s="1"/>
  <c r="O578" i="6"/>
  <c r="O578" i="8" s="1"/>
  <c r="C626" i="6"/>
  <c r="U626" i="6" s="1"/>
  <c r="AA624" i="6"/>
  <c r="AH598" i="6" s="1"/>
  <c r="Y624" i="6"/>
  <c r="AG598" i="6" s="1"/>
  <c r="Z593" i="6"/>
  <c r="Z593" i="8" s="1"/>
  <c r="W593" i="6"/>
  <c r="W593" i="8" s="1"/>
  <c r="P593" i="6"/>
  <c r="P593" i="8" s="1"/>
  <c r="N593" i="6"/>
  <c r="N593" i="8" s="1"/>
  <c r="G593" i="6"/>
  <c r="G593" i="8" s="1"/>
  <c r="E593" i="6"/>
  <c r="E593" i="8" s="1"/>
  <c r="Z588" i="6"/>
  <c r="Z588" i="8" s="1"/>
  <c r="W588" i="6"/>
  <c r="W588" i="8" s="1"/>
  <c r="P588" i="6"/>
  <c r="P588" i="8" s="1"/>
  <c r="N588" i="6"/>
  <c r="N588" i="8" s="1"/>
  <c r="G588" i="6"/>
  <c r="G588" i="8" s="1"/>
  <c r="E588" i="6"/>
  <c r="E588" i="8" s="1"/>
  <c r="Z585" i="6"/>
  <c r="Z585" i="8" s="1"/>
  <c r="W585" i="6"/>
  <c r="W585" i="8" s="1"/>
  <c r="P585" i="6"/>
  <c r="P585" i="8" s="1"/>
  <c r="N585" i="6"/>
  <c r="N585" i="8" s="1"/>
  <c r="G585" i="6"/>
  <c r="G585" i="8" s="1"/>
  <c r="E585" i="6"/>
  <c r="E585" i="8" s="1"/>
  <c r="Z582" i="6"/>
  <c r="Z582" i="8" s="1"/>
  <c r="W582" i="6"/>
  <c r="W582" i="8" s="1"/>
  <c r="P582" i="6"/>
  <c r="P582" i="8" s="1"/>
  <c r="N582" i="6"/>
  <c r="N582" i="8" s="1"/>
  <c r="G582" i="6"/>
  <c r="G582" i="8" s="1"/>
  <c r="E582" i="6"/>
  <c r="Z577" i="6"/>
  <c r="Z577" i="8" s="1"/>
  <c r="W577" i="6"/>
  <c r="W577" i="8" s="1"/>
  <c r="P577" i="6"/>
  <c r="P577" i="8" s="1"/>
  <c r="N577" i="6"/>
  <c r="G577" i="6"/>
  <c r="G577" i="8" s="1"/>
  <c r="E577" i="6"/>
  <c r="E577" i="8" s="1"/>
  <c r="Q542" i="6"/>
  <c r="Q542" i="8" s="1"/>
  <c r="Q541" i="6"/>
  <c r="Q541" i="8" s="1"/>
  <c r="Q540" i="6"/>
  <c r="Q540" i="8" s="1"/>
  <c r="Q539" i="6"/>
  <c r="Q539" i="8" s="1"/>
  <c r="Q538" i="6"/>
  <c r="Q538" i="8" s="1"/>
  <c r="Q537" i="6"/>
  <c r="Q537" i="8" s="1"/>
  <c r="O542" i="6"/>
  <c r="O542" i="8" s="1"/>
  <c r="O541" i="6"/>
  <c r="O541" i="8" s="1"/>
  <c r="O536" i="6"/>
  <c r="O536" i="8" s="1"/>
  <c r="O535" i="6"/>
  <c r="Q524" i="6"/>
  <c r="Q524" i="8" s="1"/>
  <c r="Q519" i="6"/>
  <c r="Q519" i="8" s="1"/>
  <c r="O519" i="6"/>
  <c r="O519" i="8" s="1"/>
  <c r="O509" i="6"/>
  <c r="O509" i="8" s="1"/>
  <c r="Q509" i="6"/>
  <c r="Q509" i="8" s="1"/>
  <c r="O508" i="6"/>
  <c r="O508" i="8" s="1"/>
  <c r="C556" i="6"/>
  <c r="L556" i="6" s="1"/>
  <c r="AA554" i="6"/>
  <c r="AH528" i="6" s="1"/>
  <c r="Y554" i="6"/>
  <c r="AG528" i="6" s="1"/>
  <c r="Z523" i="6"/>
  <c r="Z523" i="8" s="1"/>
  <c r="W523" i="6"/>
  <c r="W523" i="8" s="1"/>
  <c r="P523" i="6"/>
  <c r="P523" i="8" s="1"/>
  <c r="N523" i="6"/>
  <c r="N523" i="8" s="1"/>
  <c r="G523" i="6"/>
  <c r="G523" i="8" s="1"/>
  <c r="E523" i="6"/>
  <c r="E523" i="8" s="1"/>
  <c r="Z518" i="6"/>
  <c r="Z518" i="8" s="1"/>
  <c r="W518" i="6"/>
  <c r="W518" i="8" s="1"/>
  <c r="P518" i="6"/>
  <c r="P518" i="8" s="1"/>
  <c r="N518" i="6"/>
  <c r="N518" i="8" s="1"/>
  <c r="G518" i="6"/>
  <c r="G518" i="8" s="1"/>
  <c r="E518" i="6"/>
  <c r="E518" i="8" s="1"/>
  <c r="Z515" i="6"/>
  <c r="Z515" i="8" s="1"/>
  <c r="W515" i="6"/>
  <c r="W515" i="8" s="1"/>
  <c r="P515" i="6"/>
  <c r="P515" i="8" s="1"/>
  <c r="N515" i="6"/>
  <c r="N515" i="8" s="1"/>
  <c r="G515" i="6"/>
  <c r="G515" i="8" s="1"/>
  <c r="E515" i="6"/>
  <c r="E515" i="8" s="1"/>
  <c r="Z512" i="6"/>
  <c r="Z512" i="8" s="1"/>
  <c r="W512" i="6"/>
  <c r="W512" i="8" s="1"/>
  <c r="P512" i="6"/>
  <c r="P512" i="8" s="1"/>
  <c r="N512" i="6"/>
  <c r="N512" i="8" s="1"/>
  <c r="G512" i="6"/>
  <c r="G512" i="8" s="1"/>
  <c r="E512" i="6"/>
  <c r="E512" i="8" s="1"/>
  <c r="Z507" i="6"/>
  <c r="Z507" i="8" s="1"/>
  <c r="W507" i="6"/>
  <c r="W507" i="8" s="1"/>
  <c r="P507" i="6"/>
  <c r="P507" i="8" s="1"/>
  <c r="N507" i="6"/>
  <c r="N507" i="8" s="1"/>
  <c r="G507" i="6"/>
  <c r="G507" i="8" s="1"/>
  <c r="E507" i="6"/>
  <c r="E507" i="8" s="1"/>
  <c r="Q472" i="6"/>
  <c r="Q472" i="8" s="1"/>
  <c r="Q471" i="6"/>
  <c r="Q471" i="8" s="1"/>
  <c r="Q470" i="6"/>
  <c r="Q470" i="8" s="1"/>
  <c r="Q469" i="6"/>
  <c r="Q469" i="8" s="1"/>
  <c r="Q468" i="6"/>
  <c r="Q468" i="8" s="1"/>
  <c r="O472" i="6"/>
  <c r="O472" i="8" s="1"/>
  <c r="O471" i="6"/>
  <c r="O471" i="8" s="1"/>
  <c r="O466" i="6"/>
  <c r="O466" i="8" s="1"/>
  <c r="Q467" i="6"/>
  <c r="Q467" i="8" s="1"/>
  <c r="O465" i="6"/>
  <c r="Q454" i="6"/>
  <c r="Q454" i="8" s="1"/>
  <c r="Q449" i="6"/>
  <c r="Q449" i="8" s="1"/>
  <c r="O449" i="6"/>
  <c r="O449" i="8" s="1"/>
  <c r="O439" i="6"/>
  <c r="O439" i="8" s="1"/>
  <c r="Q439" i="6"/>
  <c r="Q439" i="8" s="1"/>
  <c r="O438" i="6"/>
  <c r="O438" i="8" s="1"/>
  <c r="C486" i="6"/>
  <c r="L486" i="6" s="1"/>
  <c r="AA484" i="6"/>
  <c r="AH458" i="6" s="1"/>
  <c r="Y484" i="6"/>
  <c r="AG458" i="6" s="1"/>
  <c r="Z453" i="6"/>
  <c r="Z453" i="8" s="1"/>
  <c r="W453" i="6"/>
  <c r="W453" i="8" s="1"/>
  <c r="P453" i="6"/>
  <c r="P453" i="8" s="1"/>
  <c r="N453" i="6"/>
  <c r="N453" i="8" s="1"/>
  <c r="G453" i="6"/>
  <c r="G453" i="8" s="1"/>
  <c r="E453" i="6"/>
  <c r="E453" i="8" s="1"/>
  <c r="Z448" i="6"/>
  <c r="Z448" i="8" s="1"/>
  <c r="W448" i="6"/>
  <c r="W448" i="8" s="1"/>
  <c r="P448" i="6"/>
  <c r="P448" i="8" s="1"/>
  <c r="N448" i="6"/>
  <c r="N448" i="8" s="1"/>
  <c r="G448" i="6"/>
  <c r="G448" i="8" s="1"/>
  <c r="E448" i="6"/>
  <c r="E448" i="8" s="1"/>
  <c r="Z445" i="6"/>
  <c r="Z445" i="8" s="1"/>
  <c r="W445" i="6"/>
  <c r="W445" i="8" s="1"/>
  <c r="P445" i="6"/>
  <c r="P445" i="8" s="1"/>
  <c r="N445" i="6"/>
  <c r="N445" i="8" s="1"/>
  <c r="G445" i="6"/>
  <c r="G445" i="8" s="1"/>
  <c r="E445" i="6"/>
  <c r="E445" i="8" s="1"/>
  <c r="Z442" i="6"/>
  <c r="Z442" i="8" s="1"/>
  <c r="W442" i="6"/>
  <c r="W442" i="8" s="1"/>
  <c r="P442" i="6"/>
  <c r="P442" i="8" s="1"/>
  <c r="N442" i="6"/>
  <c r="N442" i="8" s="1"/>
  <c r="G442" i="6"/>
  <c r="G442" i="8" s="1"/>
  <c r="E442" i="6"/>
  <c r="E442" i="8" s="1"/>
  <c r="Z437" i="6"/>
  <c r="Z437" i="8" s="1"/>
  <c r="W437" i="6"/>
  <c r="W437" i="8" s="1"/>
  <c r="P437" i="6"/>
  <c r="P437" i="8" s="1"/>
  <c r="N437" i="6"/>
  <c r="N437" i="8" s="1"/>
  <c r="G437" i="6"/>
  <c r="G437" i="8" s="1"/>
  <c r="E437" i="6"/>
  <c r="E437" i="8" s="1"/>
  <c r="Q402" i="6"/>
  <c r="Q402" i="8" s="1"/>
  <c r="Q401" i="6"/>
  <c r="Q401" i="8" s="1"/>
  <c r="Q400" i="6"/>
  <c r="Q400" i="8" s="1"/>
  <c r="Q399" i="6"/>
  <c r="Q399" i="8" s="1"/>
  <c r="Q398" i="6"/>
  <c r="Q398" i="8" s="1"/>
  <c r="Q397" i="6"/>
  <c r="Q397" i="8" s="1"/>
  <c r="O402" i="6"/>
  <c r="O402" i="8" s="1"/>
  <c r="O401" i="6"/>
  <c r="O401" i="8" s="1"/>
  <c r="O396" i="6"/>
  <c r="O396" i="8" s="1"/>
  <c r="O395" i="6"/>
  <c r="Q384" i="6"/>
  <c r="Q384" i="8" s="1"/>
  <c r="Q379" i="6"/>
  <c r="Q379" i="8" s="1"/>
  <c r="O379" i="6"/>
  <c r="O379" i="8" s="1"/>
  <c r="O369" i="6"/>
  <c r="O369" i="8" s="1"/>
  <c r="Q369" i="6"/>
  <c r="Q369" i="8" s="1"/>
  <c r="O368" i="6"/>
  <c r="O368" i="8" s="1"/>
  <c r="C416" i="6"/>
  <c r="L416" i="6" s="1"/>
  <c r="C346" i="6"/>
  <c r="L346" i="6" s="1"/>
  <c r="C276" i="6"/>
  <c r="L276" i="6" s="1"/>
  <c r="AA414" i="6"/>
  <c r="AH388" i="6" s="1"/>
  <c r="Y414" i="6"/>
  <c r="AG388" i="6" s="1"/>
  <c r="Z383" i="6"/>
  <c r="Z383" i="8" s="1"/>
  <c r="W383" i="6"/>
  <c r="W383" i="8" s="1"/>
  <c r="P383" i="6"/>
  <c r="P383" i="8" s="1"/>
  <c r="N383" i="6"/>
  <c r="N383" i="8" s="1"/>
  <c r="G383" i="6"/>
  <c r="G383" i="8" s="1"/>
  <c r="E383" i="6"/>
  <c r="E383" i="8" s="1"/>
  <c r="Z378" i="6"/>
  <c r="Z378" i="8" s="1"/>
  <c r="W378" i="6"/>
  <c r="W378" i="8" s="1"/>
  <c r="P378" i="6"/>
  <c r="P378" i="8" s="1"/>
  <c r="N378" i="6"/>
  <c r="N378" i="8" s="1"/>
  <c r="G378" i="6"/>
  <c r="G378" i="8" s="1"/>
  <c r="E378" i="6"/>
  <c r="E378" i="8" s="1"/>
  <c r="Z375" i="6"/>
  <c r="Z375" i="8" s="1"/>
  <c r="W375" i="6"/>
  <c r="W375" i="8" s="1"/>
  <c r="P375" i="6"/>
  <c r="P375" i="8" s="1"/>
  <c r="N375" i="6"/>
  <c r="N375" i="8" s="1"/>
  <c r="G375" i="6"/>
  <c r="G375" i="8" s="1"/>
  <c r="E375" i="6"/>
  <c r="E375" i="8" s="1"/>
  <c r="Z372" i="6"/>
  <c r="Z372" i="8" s="1"/>
  <c r="W372" i="6"/>
  <c r="W372" i="8" s="1"/>
  <c r="P372" i="6"/>
  <c r="P372" i="8" s="1"/>
  <c r="N372" i="6"/>
  <c r="N372" i="8" s="1"/>
  <c r="G372" i="6"/>
  <c r="G372" i="8" s="1"/>
  <c r="E372" i="6"/>
  <c r="E372" i="8" s="1"/>
  <c r="Z367" i="6"/>
  <c r="Z367" i="8" s="1"/>
  <c r="W367" i="6"/>
  <c r="W367" i="8" s="1"/>
  <c r="P367" i="6"/>
  <c r="P367" i="8" s="1"/>
  <c r="N367" i="6"/>
  <c r="N367" i="8" s="1"/>
  <c r="G367" i="6"/>
  <c r="G367" i="8" s="1"/>
  <c r="E367" i="6"/>
  <c r="E367" i="8" s="1"/>
  <c r="Q332" i="6"/>
  <c r="Q332" i="8" s="1"/>
  <c r="Q331" i="6"/>
  <c r="Q331" i="8" s="1"/>
  <c r="Q330" i="6"/>
  <c r="Q330" i="8" s="1"/>
  <c r="Q329" i="6"/>
  <c r="Q329" i="8" s="1"/>
  <c r="Q328" i="6"/>
  <c r="Q328" i="8" s="1"/>
  <c r="Q327" i="6"/>
  <c r="Q327" i="8" s="1"/>
  <c r="O332" i="6"/>
  <c r="O332" i="8" s="1"/>
  <c r="O331" i="6"/>
  <c r="O331" i="8" s="1"/>
  <c r="O326" i="6"/>
  <c r="O326" i="8" s="1"/>
  <c r="Q314" i="6"/>
  <c r="Q314" i="8" s="1"/>
  <c r="Q309" i="6"/>
  <c r="Q309" i="8" s="1"/>
  <c r="Q299" i="6"/>
  <c r="Q299" i="8" s="1"/>
  <c r="O325" i="6"/>
  <c r="O309" i="6"/>
  <c r="O309" i="8" s="1"/>
  <c r="O299" i="6"/>
  <c r="O299" i="8" s="1"/>
  <c r="O298" i="6"/>
  <c r="O298" i="8" s="1"/>
  <c r="AA344" i="6"/>
  <c r="AH318" i="6" s="1"/>
  <c r="Y344" i="6"/>
  <c r="AG318" i="6" s="1"/>
  <c r="Z313" i="6"/>
  <c r="Z313" i="8" s="1"/>
  <c r="W313" i="6"/>
  <c r="W313" i="8" s="1"/>
  <c r="P313" i="6"/>
  <c r="P313" i="8" s="1"/>
  <c r="N313" i="6"/>
  <c r="N313" i="8" s="1"/>
  <c r="G313" i="6"/>
  <c r="G313" i="8" s="1"/>
  <c r="E313" i="6"/>
  <c r="E313" i="8" s="1"/>
  <c r="Z308" i="6"/>
  <c r="Z308" i="8" s="1"/>
  <c r="W308" i="6"/>
  <c r="W308" i="8" s="1"/>
  <c r="P308" i="6"/>
  <c r="P308" i="8" s="1"/>
  <c r="N308" i="6"/>
  <c r="N308" i="8" s="1"/>
  <c r="G308" i="6"/>
  <c r="G308" i="8" s="1"/>
  <c r="E308" i="6"/>
  <c r="E308" i="8" s="1"/>
  <c r="Z305" i="6"/>
  <c r="Z305" i="8" s="1"/>
  <c r="W305" i="6"/>
  <c r="W305" i="8" s="1"/>
  <c r="P305" i="6"/>
  <c r="P305" i="8" s="1"/>
  <c r="N305" i="6"/>
  <c r="N305" i="8" s="1"/>
  <c r="G305" i="6"/>
  <c r="G305" i="8" s="1"/>
  <c r="E305" i="6"/>
  <c r="E305" i="8" s="1"/>
  <c r="Z302" i="6"/>
  <c r="Z302" i="8" s="1"/>
  <c r="W302" i="6"/>
  <c r="W302" i="8" s="1"/>
  <c r="P302" i="6"/>
  <c r="P302" i="8" s="1"/>
  <c r="N302" i="6"/>
  <c r="N302" i="8" s="1"/>
  <c r="G302" i="6"/>
  <c r="G302" i="8" s="1"/>
  <c r="E302" i="6"/>
  <c r="E302" i="8" s="1"/>
  <c r="Z297" i="6"/>
  <c r="Z297" i="8" s="1"/>
  <c r="W297" i="6"/>
  <c r="W297" i="8" s="1"/>
  <c r="P297" i="6"/>
  <c r="P297" i="8" s="1"/>
  <c r="N297" i="6"/>
  <c r="N297" i="8" s="1"/>
  <c r="G297" i="6"/>
  <c r="G297" i="8" s="1"/>
  <c r="E297" i="6"/>
  <c r="E297" i="8" s="1"/>
  <c r="Q262" i="6"/>
  <c r="Q262" i="8" s="1"/>
  <c r="Q261" i="6"/>
  <c r="Q261" i="8" s="1"/>
  <c r="Q260" i="6"/>
  <c r="Q260" i="8" s="1"/>
  <c r="Q259" i="6"/>
  <c r="Q259" i="8" s="1"/>
  <c r="Q258" i="6"/>
  <c r="Q258" i="8" s="1"/>
  <c r="O262" i="6"/>
  <c r="O262" i="8" s="1"/>
  <c r="O261" i="6"/>
  <c r="O261" i="8" s="1"/>
  <c r="O256" i="6"/>
  <c r="O256" i="8" s="1"/>
  <c r="O255" i="6"/>
  <c r="Q257" i="6"/>
  <c r="Q257" i="8" s="1"/>
  <c r="Q244" i="6"/>
  <c r="Q244" i="8" s="1"/>
  <c r="Q239" i="6"/>
  <c r="Q239" i="8" s="1"/>
  <c r="O239" i="6"/>
  <c r="O239" i="8" s="1"/>
  <c r="O229" i="6"/>
  <c r="O229" i="8" s="1"/>
  <c r="Q174" i="6"/>
  <c r="Q174" i="8" s="1"/>
  <c r="Q169" i="6"/>
  <c r="Q169" i="8" s="1"/>
  <c r="Q159" i="6"/>
  <c r="Q159" i="8" s="1"/>
  <c r="Q229" i="6"/>
  <c r="Q229" i="8" s="1"/>
  <c r="O228" i="6"/>
  <c r="O228" i="8" s="1"/>
  <c r="AA274" i="6"/>
  <c r="AH248" i="6" s="1"/>
  <c r="Y274" i="6"/>
  <c r="AG248" i="6" s="1"/>
  <c r="Z243" i="6"/>
  <c r="Z243" i="8" s="1"/>
  <c r="W243" i="6"/>
  <c r="W243" i="8" s="1"/>
  <c r="P243" i="6"/>
  <c r="P243" i="8" s="1"/>
  <c r="N243" i="6"/>
  <c r="N243" i="8" s="1"/>
  <c r="G243" i="6"/>
  <c r="G243" i="8" s="1"/>
  <c r="E243" i="6"/>
  <c r="E243" i="8" s="1"/>
  <c r="Z238" i="6"/>
  <c r="Z238" i="8" s="1"/>
  <c r="W238" i="6"/>
  <c r="W238" i="8" s="1"/>
  <c r="P238" i="6"/>
  <c r="P238" i="8" s="1"/>
  <c r="N238" i="6"/>
  <c r="N238" i="8" s="1"/>
  <c r="G238" i="6"/>
  <c r="G238" i="8" s="1"/>
  <c r="E238" i="6"/>
  <c r="E238" i="8" s="1"/>
  <c r="Z235" i="6"/>
  <c r="Z235" i="8" s="1"/>
  <c r="W235" i="6"/>
  <c r="W235" i="8" s="1"/>
  <c r="P235" i="6"/>
  <c r="P235" i="8" s="1"/>
  <c r="N235" i="6"/>
  <c r="N235" i="8" s="1"/>
  <c r="G235" i="6"/>
  <c r="G235" i="8" s="1"/>
  <c r="E235" i="6"/>
  <c r="E235" i="8" s="1"/>
  <c r="Z232" i="6"/>
  <c r="Z232" i="8" s="1"/>
  <c r="W232" i="6"/>
  <c r="W232" i="8" s="1"/>
  <c r="P232" i="6"/>
  <c r="P232" i="8" s="1"/>
  <c r="N232" i="6"/>
  <c r="N232" i="8" s="1"/>
  <c r="G232" i="6"/>
  <c r="G232" i="8" s="1"/>
  <c r="E232" i="6"/>
  <c r="E232" i="8" s="1"/>
  <c r="Z227" i="6"/>
  <c r="Z227" i="8" s="1"/>
  <c r="W227" i="6"/>
  <c r="W227" i="8" s="1"/>
  <c r="P227" i="6"/>
  <c r="P227" i="8" s="1"/>
  <c r="N227" i="6"/>
  <c r="G227" i="6"/>
  <c r="G227" i="8" s="1"/>
  <c r="E227" i="6"/>
  <c r="E227" i="8" s="1"/>
  <c r="Q188" i="6"/>
  <c r="Q188" i="8" s="1"/>
  <c r="Q189" i="6"/>
  <c r="Q189" i="8" s="1"/>
  <c r="Q190" i="6"/>
  <c r="Q190" i="8" s="1"/>
  <c r="Q191" i="6"/>
  <c r="Q191" i="8" s="1"/>
  <c r="Q192" i="6"/>
  <c r="Q192" i="8" s="1"/>
  <c r="Q187" i="6"/>
  <c r="Q187" i="8" s="1"/>
  <c r="O192" i="6"/>
  <c r="O192" i="8" s="1"/>
  <c r="O191" i="6"/>
  <c r="O191" i="8" s="1"/>
  <c r="O186" i="6"/>
  <c r="O186" i="8" s="1"/>
  <c r="O185" i="6"/>
  <c r="O169" i="6"/>
  <c r="O169" i="8" s="1"/>
  <c r="O159" i="6"/>
  <c r="O159" i="8" s="1"/>
  <c r="O158" i="6"/>
  <c r="O158" i="8" s="1"/>
  <c r="C136" i="6"/>
  <c r="L136" i="6" s="1"/>
  <c r="C206" i="6"/>
  <c r="U206" i="6" s="1"/>
  <c r="AA204" i="6"/>
  <c r="AH178" i="6" s="1"/>
  <c r="Y204" i="6"/>
  <c r="AG178" i="6" s="1"/>
  <c r="Z173" i="6"/>
  <c r="Z173" i="8" s="1"/>
  <c r="W173" i="6"/>
  <c r="W173" i="8" s="1"/>
  <c r="P173" i="6"/>
  <c r="P173" i="8" s="1"/>
  <c r="N173" i="6"/>
  <c r="N173" i="8" s="1"/>
  <c r="G173" i="6"/>
  <c r="G173" i="8" s="1"/>
  <c r="E173" i="6"/>
  <c r="E173" i="8" s="1"/>
  <c r="Z168" i="6"/>
  <c r="Z168" i="8" s="1"/>
  <c r="W168" i="6"/>
  <c r="W168" i="8" s="1"/>
  <c r="P168" i="6"/>
  <c r="P168" i="8" s="1"/>
  <c r="N168" i="6"/>
  <c r="N168" i="8" s="1"/>
  <c r="G168" i="6"/>
  <c r="G168" i="8" s="1"/>
  <c r="E168" i="6"/>
  <c r="E168" i="8" s="1"/>
  <c r="Z165" i="6"/>
  <c r="Z165" i="8" s="1"/>
  <c r="W165" i="6"/>
  <c r="W165" i="8" s="1"/>
  <c r="P165" i="6"/>
  <c r="P165" i="8" s="1"/>
  <c r="N165" i="6"/>
  <c r="N165" i="8" s="1"/>
  <c r="G165" i="6"/>
  <c r="G165" i="8" s="1"/>
  <c r="E165" i="6"/>
  <c r="E165" i="8" s="1"/>
  <c r="Z162" i="6"/>
  <c r="Z162" i="8" s="1"/>
  <c r="W162" i="6"/>
  <c r="W162" i="8" s="1"/>
  <c r="P162" i="6"/>
  <c r="P162" i="8" s="1"/>
  <c r="N162" i="6"/>
  <c r="N162" i="8" s="1"/>
  <c r="G162" i="6"/>
  <c r="G162" i="8" s="1"/>
  <c r="E162" i="6"/>
  <c r="E162" i="8" s="1"/>
  <c r="Z157" i="6"/>
  <c r="Z157" i="8" s="1"/>
  <c r="W157" i="6"/>
  <c r="W157" i="8" s="1"/>
  <c r="P157" i="6"/>
  <c r="P157" i="8" s="1"/>
  <c r="N157" i="6"/>
  <c r="N157" i="8" s="1"/>
  <c r="G157" i="6"/>
  <c r="G157" i="8" s="1"/>
  <c r="E157" i="6"/>
  <c r="E157" i="8" s="1"/>
  <c r="N75" i="5"/>
  <c r="N77" i="5"/>
  <c r="M75" i="5"/>
  <c r="M77" i="5"/>
  <c r="Y204" i="8" l="1"/>
  <c r="AA274" i="8"/>
  <c r="AA624" i="8"/>
  <c r="P624" i="6"/>
  <c r="P624" i="8" s="1"/>
  <c r="O605" i="8"/>
  <c r="Y694" i="8"/>
  <c r="AA204" i="8"/>
  <c r="P414" i="6"/>
  <c r="P414" i="8" s="1"/>
  <c r="O395" i="8"/>
  <c r="Y484" i="8"/>
  <c r="AA694" i="8"/>
  <c r="P694" i="6"/>
  <c r="P694" i="8" s="1"/>
  <c r="O675" i="8"/>
  <c r="Y764" i="8"/>
  <c r="Y344" i="8"/>
  <c r="Y414" i="8"/>
  <c r="AA484" i="8"/>
  <c r="P484" i="6"/>
  <c r="P484" i="8" s="1"/>
  <c r="O465" i="8"/>
  <c r="Y554" i="8"/>
  <c r="AA764" i="8"/>
  <c r="P764" i="6"/>
  <c r="P764" i="8" s="1"/>
  <c r="O745" i="8"/>
  <c r="P204" i="6"/>
  <c r="P204" i="8" s="1"/>
  <c r="O185" i="8"/>
  <c r="N251" i="6"/>
  <c r="N251" i="8" s="1"/>
  <c r="N227" i="8"/>
  <c r="Y274" i="8"/>
  <c r="P274" i="6"/>
  <c r="P274" i="8" s="1"/>
  <c r="O255" i="8"/>
  <c r="AA344" i="8"/>
  <c r="P344" i="6"/>
  <c r="P344" i="8" s="1"/>
  <c r="O325" i="8"/>
  <c r="AA414" i="8"/>
  <c r="AA554" i="8"/>
  <c r="P554" i="6"/>
  <c r="P554" i="8" s="1"/>
  <c r="O535" i="8"/>
  <c r="N601" i="6"/>
  <c r="N601" i="8" s="1"/>
  <c r="N577" i="8"/>
  <c r="E601" i="6"/>
  <c r="E601" i="8" s="1"/>
  <c r="E582" i="8"/>
  <c r="Y624" i="8"/>
  <c r="N671" i="6"/>
  <c r="N671" i="8" s="1"/>
  <c r="U346" i="6"/>
  <c r="E531" i="6"/>
  <c r="E531" i="8" s="1"/>
  <c r="P671" i="6"/>
  <c r="P671" i="8" s="1"/>
  <c r="E741" i="6"/>
  <c r="E741" i="8" s="1"/>
  <c r="E321" i="6"/>
  <c r="E321" i="8" s="1"/>
  <c r="E391" i="6"/>
  <c r="E391" i="8" s="1"/>
  <c r="E461" i="6"/>
  <c r="E461" i="8" s="1"/>
  <c r="U556" i="6"/>
  <c r="L206" i="6"/>
  <c r="U276" i="6"/>
  <c r="P321" i="6"/>
  <c r="P321" i="8" s="1"/>
  <c r="P391" i="6"/>
  <c r="P391" i="8" s="1"/>
  <c r="P251" i="6"/>
  <c r="P251" i="8" s="1"/>
  <c r="U136" i="6"/>
  <c r="N321" i="6"/>
  <c r="N321" i="8" s="1"/>
  <c r="N391" i="6"/>
  <c r="N391" i="8" s="1"/>
  <c r="U416" i="6"/>
  <c r="P461" i="6"/>
  <c r="P461" i="8" s="1"/>
  <c r="L626" i="6"/>
  <c r="E671" i="6"/>
  <c r="E671" i="8" s="1"/>
  <c r="N741" i="6"/>
  <c r="N741" i="8" s="1"/>
  <c r="U766" i="6"/>
  <c r="E251" i="6"/>
  <c r="E251" i="8" s="1"/>
  <c r="N461" i="6"/>
  <c r="N461" i="8" s="1"/>
  <c r="N531" i="6"/>
  <c r="N531" i="8" s="1"/>
  <c r="Z741" i="6"/>
  <c r="AH741" i="6" s="1"/>
  <c r="W741" i="6"/>
  <c r="AG741" i="6" s="1"/>
  <c r="Z671" i="6"/>
  <c r="AH671" i="6" s="1"/>
  <c r="W671" i="6"/>
  <c r="AG671" i="6" s="1"/>
  <c r="Z601" i="6"/>
  <c r="AH601" i="6" s="1"/>
  <c r="W601" i="6"/>
  <c r="AG601" i="6" s="1"/>
  <c r="Z531" i="6"/>
  <c r="AH531" i="6" s="1"/>
  <c r="W531" i="6"/>
  <c r="AG531" i="6" s="1"/>
  <c r="W461" i="6"/>
  <c r="AG461" i="6" s="1"/>
  <c r="Z391" i="6"/>
  <c r="AH391" i="6" s="1"/>
  <c r="W391" i="6"/>
  <c r="AG391" i="6" s="1"/>
  <c r="Z321" i="6"/>
  <c r="AH321" i="6" s="1"/>
  <c r="W321" i="6"/>
  <c r="AG321" i="6" s="1"/>
  <c r="Z181" i="6"/>
  <c r="AH181" i="6" s="1"/>
  <c r="G391" i="6"/>
  <c r="G391" i="8" s="1"/>
  <c r="G461" i="6"/>
  <c r="G461" i="8" s="1"/>
  <c r="G251" i="6"/>
  <c r="G251" i="8" s="1"/>
  <c r="G321" i="6"/>
  <c r="G321" i="8" s="1"/>
  <c r="G741" i="6"/>
  <c r="G741" i="8" s="1"/>
  <c r="L696" i="6"/>
  <c r="Q554" i="6"/>
  <c r="Q554" i="8" s="1"/>
  <c r="Q484" i="6"/>
  <c r="Q484" i="8" s="1"/>
  <c r="Q274" i="6"/>
  <c r="Q274" i="8" s="1"/>
  <c r="Q414" i="6"/>
  <c r="Q414" i="8" s="1"/>
  <c r="Q764" i="6"/>
  <c r="Q764" i="8" s="1"/>
  <c r="P741" i="6"/>
  <c r="P741" i="8" s="1"/>
  <c r="G671" i="6"/>
  <c r="G671" i="8" s="1"/>
  <c r="Q694" i="6"/>
  <c r="Q694" i="8" s="1"/>
  <c r="Q624" i="6"/>
  <c r="Q624" i="8" s="1"/>
  <c r="P601" i="6"/>
  <c r="P601" i="8" s="1"/>
  <c r="G601" i="6"/>
  <c r="G601" i="8" s="1"/>
  <c r="G531" i="6"/>
  <c r="G531" i="8" s="1"/>
  <c r="P531" i="6"/>
  <c r="P531" i="8" s="1"/>
  <c r="Z461" i="6"/>
  <c r="AH461" i="6" s="1"/>
  <c r="U486" i="6"/>
  <c r="Y408" i="6"/>
  <c r="Y408" i="8" s="1"/>
  <c r="Q344" i="6"/>
  <c r="Q344" i="8" s="1"/>
  <c r="Y338" i="6"/>
  <c r="Y338" i="8" s="1"/>
  <c r="Z251" i="6"/>
  <c r="AH251" i="6" s="1"/>
  <c r="W251" i="6"/>
  <c r="AG251" i="6" s="1"/>
  <c r="AA198" i="6"/>
  <c r="AA198" i="8" s="1"/>
  <c r="P181" i="6"/>
  <c r="P181" i="8" s="1"/>
  <c r="G181" i="6"/>
  <c r="G181" i="8" s="1"/>
  <c r="E181" i="6"/>
  <c r="E181" i="8" s="1"/>
  <c r="N181" i="6"/>
  <c r="N181" i="8" s="1"/>
  <c r="W181" i="6"/>
  <c r="AG181" i="6" s="1"/>
  <c r="Q204" i="6"/>
  <c r="Q204" i="8" s="1"/>
  <c r="AA199" i="6" l="1"/>
  <c r="AA201" i="6" s="1"/>
  <c r="AA201" i="8" s="1"/>
  <c r="Z181" i="8"/>
  <c r="Y619" i="6"/>
  <c r="Y621" i="6" s="1"/>
  <c r="Y621" i="8" s="1"/>
  <c r="W601" i="8"/>
  <c r="Y479" i="6"/>
  <c r="W461" i="8"/>
  <c r="AA759" i="6"/>
  <c r="Z741" i="8"/>
  <c r="Y199" i="6"/>
  <c r="Y199" i="8" s="1"/>
  <c r="W181" i="8"/>
  <c r="AA339" i="6"/>
  <c r="Z321" i="8"/>
  <c r="Y549" i="6"/>
  <c r="Y553" i="6" s="1"/>
  <c r="W531" i="8"/>
  <c r="Y689" i="6"/>
  <c r="Y691" i="6" s="1"/>
  <c r="Y691" i="8" s="1"/>
  <c r="W671" i="8"/>
  <c r="Y269" i="6"/>
  <c r="Y271" i="6" s="1"/>
  <c r="Y271" i="8" s="1"/>
  <c r="W251" i="8"/>
  <c r="AA409" i="6"/>
  <c r="AA411" i="6" s="1"/>
  <c r="AA411" i="8" s="1"/>
  <c r="Z391" i="8"/>
  <c r="Y759" i="6"/>
  <c r="Y761" i="6" s="1"/>
  <c r="Y761" i="8" s="1"/>
  <c r="W741" i="8"/>
  <c r="AA269" i="6"/>
  <c r="AA273" i="6" s="1"/>
  <c r="Z251" i="8"/>
  <c r="Y339" i="6"/>
  <c r="W321" i="8"/>
  <c r="AA619" i="6"/>
  <c r="AA623" i="6" s="1"/>
  <c r="Z601" i="8"/>
  <c r="AA479" i="6"/>
  <c r="AA483" i="6" s="1"/>
  <c r="Z461" i="8"/>
  <c r="Y409" i="6"/>
  <c r="Y411" i="6" s="1"/>
  <c r="Y411" i="8" s="1"/>
  <c r="W391" i="8"/>
  <c r="AA549" i="6"/>
  <c r="Z531" i="8"/>
  <c r="AA689" i="6"/>
  <c r="AA691" i="6" s="1"/>
  <c r="AA691" i="8" s="1"/>
  <c r="Z671" i="8"/>
  <c r="AA413" i="6"/>
  <c r="AA758" i="6"/>
  <c r="AA758" i="8" s="1"/>
  <c r="AA688" i="6"/>
  <c r="AA688" i="8" s="1"/>
  <c r="Y688" i="6"/>
  <c r="Y688" i="8" s="1"/>
  <c r="AA618" i="6"/>
  <c r="AA618" i="8" s="1"/>
  <c r="Y618" i="6"/>
  <c r="Y618" i="8" s="1"/>
  <c r="AA548" i="6"/>
  <c r="AA548" i="8" s="1"/>
  <c r="Y478" i="6"/>
  <c r="Y478" i="8" s="1"/>
  <c r="AA338" i="6"/>
  <c r="AA338" i="8" s="1"/>
  <c r="AA478" i="6"/>
  <c r="AA478" i="8" s="1"/>
  <c r="AA268" i="6"/>
  <c r="AA268" i="8" s="1"/>
  <c r="Y268" i="6"/>
  <c r="Y268" i="8" s="1"/>
  <c r="Y198" i="6"/>
  <c r="Y198" i="8" s="1"/>
  <c r="AA134" i="6"/>
  <c r="AH108" i="6" s="1"/>
  <c r="Y134" i="6"/>
  <c r="AG108" i="6" s="1"/>
  <c r="AA64" i="6"/>
  <c r="AH38" i="6" s="1"/>
  <c r="Y64" i="6"/>
  <c r="AG38" i="6" s="1"/>
  <c r="Q47" i="6"/>
  <c r="Q47" i="8" s="1"/>
  <c r="Q48" i="6"/>
  <c r="Q48" i="8" s="1"/>
  <c r="Q49" i="6"/>
  <c r="Q49" i="8" s="1"/>
  <c r="Q50" i="6"/>
  <c r="Q50" i="8" s="1"/>
  <c r="Q51" i="6"/>
  <c r="Q51" i="8" s="1"/>
  <c r="Q52" i="6"/>
  <c r="Q52" i="8" s="1"/>
  <c r="O45" i="6"/>
  <c r="O45" i="8" s="1"/>
  <c r="O46" i="6"/>
  <c r="O46" i="8" s="1"/>
  <c r="O51" i="6"/>
  <c r="O51" i="8" s="1"/>
  <c r="O52" i="6"/>
  <c r="O52" i="8" s="1"/>
  <c r="J75" i="5"/>
  <c r="J77" i="5"/>
  <c r="I75" i="5"/>
  <c r="I77" i="5"/>
  <c r="Q118" i="6"/>
  <c r="Q118" i="8" s="1"/>
  <c r="Q119" i="6"/>
  <c r="Q119" i="8" s="1"/>
  <c r="Q120" i="6"/>
  <c r="Q120" i="8" s="1"/>
  <c r="Q121" i="6"/>
  <c r="Q121" i="8" s="1"/>
  <c r="Q122" i="6"/>
  <c r="Q122" i="8" s="1"/>
  <c r="Q117" i="6"/>
  <c r="O122" i="6"/>
  <c r="O122" i="8" s="1"/>
  <c r="O121" i="6"/>
  <c r="O121" i="8" s="1"/>
  <c r="O116" i="6"/>
  <c r="O116" i="8" s="1"/>
  <c r="O115" i="6"/>
  <c r="Q104" i="6"/>
  <c r="Q104" i="8" s="1"/>
  <c r="O89" i="6"/>
  <c r="O89" i="8" s="1"/>
  <c r="Q89" i="6"/>
  <c r="Q89" i="8" s="1"/>
  <c r="O88" i="6"/>
  <c r="O88" i="8" s="1"/>
  <c r="H114" i="6"/>
  <c r="H114" i="8" s="1"/>
  <c r="H113" i="6"/>
  <c r="H113" i="8" s="1"/>
  <c r="H112" i="6"/>
  <c r="H112" i="8" s="1"/>
  <c r="F114" i="6"/>
  <c r="F114" i="8" s="1"/>
  <c r="F113" i="6"/>
  <c r="F113" i="8" s="1"/>
  <c r="F112" i="6"/>
  <c r="Z103" i="6"/>
  <c r="Z103" i="8" s="1"/>
  <c r="W103" i="6"/>
  <c r="W103" i="8" s="1"/>
  <c r="P103" i="6"/>
  <c r="P103" i="8" s="1"/>
  <c r="N103" i="6"/>
  <c r="N103" i="8" s="1"/>
  <c r="G103" i="6"/>
  <c r="G103" i="8" s="1"/>
  <c r="E103" i="6"/>
  <c r="E103" i="8" s="1"/>
  <c r="Z98" i="6"/>
  <c r="Z98" i="8" s="1"/>
  <c r="W98" i="6"/>
  <c r="W98" i="8" s="1"/>
  <c r="P98" i="6"/>
  <c r="P98" i="8" s="1"/>
  <c r="N98" i="6"/>
  <c r="N98" i="8" s="1"/>
  <c r="G98" i="6"/>
  <c r="G98" i="8" s="1"/>
  <c r="E98" i="6"/>
  <c r="E98" i="8" s="1"/>
  <c r="Z95" i="6"/>
  <c r="Z95" i="8" s="1"/>
  <c r="W95" i="6"/>
  <c r="W95" i="8" s="1"/>
  <c r="P95" i="6"/>
  <c r="P95" i="8" s="1"/>
  <c r="N95" i="6"/>
  <c r="N95" i="8" s="1"/>
  <c r="G95" i="6"/>
  <c r="G95" i="8" s="1"/>
  <c r="E95" i="6"/>
  <c r="E95" i="8" s="1"/>
  <c r="Z92" i="6"/>
  <c r="Z92" i="8" s="1"/>
  <c r="W92" i="6"/>
  <c r="W92" i="8" s="1"/>
  <c r="P92" i="6"/>
  <c r="P92" i="8" s="1"/>
  <c r="N92" i="6"/>
  <c r="N92" i="8" s="1"/>
  <c r="G92" i="6"/>
  <c r="G92" i="8" s="1"/>
  <c r="E92" i="6"/>
  <c r="E92" i="8" s="1"/>
  <c r="Z87" i="6"/>
  <c r="Z87" i="8" s="1"/>
  <c r="W87" i="6"/>
  <c r="W87" i="8" s="1"/>
  <c r="P87" i="6"/>
  <c r="P87" i="8" s="1"/>
  <c r="N87" i="6"/>
  <c r="N87" i="8" s="1"/>
  <c r="G87" i="6"/>
  <c r="G87" i="8" s="1"/>
  <c r="E87" i="6"/>
  <c r="E87" i="8" s="1"/>
  <c r="Y551" i="6" l="1"/>
  <c r="Y551" i="8" s="1"/>
  <c r="Y203" i="6"/>
  <c r="Y763" i="6"/>
  <c r="Y763" i="8" s="1"/>
  <c r="Y201" i="6"/>
  <c r="Y201" i="8" s="1"/>
  <c r="Y555" i="6"/>
  <c r="Y553" i="8"/>
  <c r="AA64" i="8"/>
  <c r="AA275" i="6"/>
  <c r="AA273" i="8"/>
  <c r="AA134" i="8"/>
  <c r="AA485" i="6"/>
  <c r="AA483" i="8"/>
  <c r="AA625" i="6"/>
  <c r="AA623" i="8"/>
  <c r="AA415" i="6"/>
  <c r="AA413" i="8"/>
  <c r="AA693" i="6"/>
  <c r="AA689" i="8"/>
  <c r="AA553" i="6"/>
  <c r="AA549" i="8"/>
  <c r="Y273" i="6"/>
  <c r="Y269" i="8"/>
  <c r="Y483" i="6"/>
  <c r="Y479" i="8"/>
  <c r="P134" i="6"/>
  <c r="P134" i="8" s="1"/>
  <c r="O115" i="8"/>
  <c r="Q134" i="6"/>
  <c r="Q134" i="8" s="1"/>
  <c r="Q117" i="8"/>
  <c r="Y765" i="6"/>
  <c r="Y758" i="6"/>
  <c r="Y758" i="8" s="1"/>
  <c r="Y759" i="8"/>
  <c r="AA408" i="6"/>
  <c r="AA408" i="8" s="1"/>
  <c r="AA409" i="8"/>
  <c r="AA763" i="6"/>
  <c r="AA759" i="8"/>
  <c r="AA761" i="6"/>
  <c r="AA761" i="8" s="1"/>
  <c r="Y341" i="6"/>
  <c r="Y341" i="8" s="1"/>
  <c r="Y339" i="8"/>
  <c r="Y343" i="6"/>
  <c r="AA271" i="6"/>
  <c r="AA271" i="8" s="1"/>
  <c r="AA269" i="8"/>
  <c r="Y548" i="6"/>
  <c r="Y548" i="8" s="1"/>
  <c r="Y549" i="8"/>
  <c r="AA343" i="6"/>
  <c r="AA339" i="8"/>
  <c r="O112" i="6"/>
  <c r="O112" i="8" s="1"/>
  <c r="F112" i="8"/>
  <c r="Y134" i="8"/>
  <c r="Y205" i="6"/>
  <c r="Y203" i="8"/>
  <c r="AA341" i="6"/>
  <c r="AA341" i="8" s="1"/>
  <c r="Y481" i="6"/>
  <c r="Y481" i="8" s="1"/>
  <c r="AA551" i="6"/>
  <c r="AA551" i="8" s="1"/>
  <c r="Y413" i="6"/>
  <c r="Y409" i="8"/>
  <c r="AA481" i="6"/>
  <c r="AA481" i="8" s="1"/>
  <c r="AA479" i="8"/>
  <c r="AA621" i="6"/>
  <c r="AA621" i="8" s="1"/>
  <c r="AA619" i="8"/>
  <c r="Y693" i="6"/>
  <c r="Y689" i="8"/>
  <c r="Y623" i="6"/>
  <c r="Y619" i="8"/>
  <c r="AA203" i="6"/>
  <c r="AA199" i="8"/>
  <c r="Y64" i="8"/>
  <c r="N111" i="6"/>
  <c r="N111" i="8" s="1"/>
  <c r="E111" i="6"/>
  <c r="E111" i="8" s="1"/>
  <c r="H184" i="6"/>
  <c r="AA114" i="6"/>
  <c r="AA114" i="8" s="1"/>
  <c r="Q114" i="6"/>
  <c r="Q114" i="8" s="1"/>
  <c r="H183" i="6"/>
  <c r="H253" i="6" s="1"/>
  <c r="AA113" i="6"/>
  <c r="AA113" i="8" s="1"/>
  <c r="H182" i="6"/>
  <c r="AA112" i="6"/>
  <c r="AA112" i="8" s="1"/>
  <c r="F184" i="6"/>
  <c r="X114" i="6"/>
  <c r="X114" i="8" s="1"/>
  <c r="F183" i="6"/>
  <c r="X113" i="6"/>
  <c r="X113" i="8" s="1"/>
  <c r="O113" i="6"/>
  <c r="O113" i="8" s="1"/>
  <c r="F182" i="6"/>
  <c r="X112" i="6"/>
  <c r="Z111" i="6"/>
  <c r="AH111" i="6" s="1"/>
  <c r="W111" i="6"/>
  <c r="AG111" i="6" s="1"/>
  <c r="H254" i="6"/>
  <c r="Q113" i="6"/>
  <c r="Q113" i="8" s="1"/>
  <c r="Q112" i="6"/>
  <c r="Q112" i="8" s="1"/>
  <c r="O114" i="6"/>
  <c r="O114" i="8" s="1"/>
  <c r="G111" i="6"/>
  <c r="G111" i="8" s="1"/>
  <c r="P111" i="6"/>
  <c r="P111" i="8" s="1"/>
  <c r="Y128" i="6"/>
  <c r="Y128" i="8" s="1"/>
  <c r="D9" i="6"/>
  <c r="Q43" i="6"/>
  <c r="Q44" i="6"/>
  <c r="Q42" i="6"/>
  <c r="O43" i="6"/>
  <c r="O44" i="6"/>
  <c r="O42" i="6"/>
  <c r="Z17" i="6"/>
  <c r="Z17" i="8" s="1"/>
  <c r="W17" i="6"/>
  <c r="W17" i="8" s="1"/>
  <c r="Z22" i="6"/>
  <c r="Z22" i="8" s="1"/>
  <c r="W22" i="6"/>
  <c r="W22" i="8" s="1"/>
  <c r="Z25" i="6"/>
  <c r="Z25" i="8" s="1"/>
  <c r="W25" i="6"/>
  <c r="W25" i="8" s="1"/>
  <c r="Z28" i="6"/>
  <c r="Z28" i="8" s="1"/>
  <c r="W28" i="6"/>
  <c r="W28" i="8" s="1"/>
  <c r="Z33" i="6"/>
  <c r="Z33" i="8" s="1"/>
  <c r="W33" i="6"/>
  <c r="W33" i="8" s="1"/>
  <c r="Q64" i="6"/>
  <c r="Q64" i="8" s="1"/>
  <c r="P64" i="6"/>
  <c r="P64" i="8" s="1"/>
  <c r="P17" i="6"/>
  <c r="P17" i="8" s="1"/>
  <c r="N17" i="6"/>
  <c r="N17" i="8" s="1"/>
  <c r="P22" i="6"/>
  <c r="P22" i="8" s="1"/>
  <c r="N22" i="6"/>
  <c r="N22" i="8" s="1"/>
  <c r="P25" i="6"/>
  <c r="P25" i="8" s="1"/>
  <c r="N25" i="6"/>
  <c r="N25" i="8" s="1"/>
  <c r="P28" i="6"/>
  <c r="P28" i="8" s="1"/>
  <c r="N28" i="6"/>
  <c r="N28" i="8" s="1"/>
  <c r="P33" i="6"/>
  <c r="P33" i="8" s="1"/>
  <c r="N33" i="6"/>
  <c r="N33" i="8" s="1"/>
  <c r="Q34" i="6"/>
  <c r="Q34" i="8" s="1"/>
  <c r="O19" i="6"/>
  <c r="O19" i="8" s="1"/>
  <c r="Q19" i="6"/>
  <c r="Q19" i="8" s="1"/>
  <c r="O18" i="6"/>
  <c r="O18" i="8" s="1"/>
  <c r="D79" i="6" l="1"/>
  <c r="D79" i="8" s="1"/>
  <c r="D9" i="8"/>
  <c r="AA254" i="6"/>
  <c r="AA254" i="8" s="1"/>
  <c r="H254" i="8"/>
  <c r="AA184" i="6"/>
  <c r="AA184" i="8" s="1"/>
  <c r="H184" i="8"/>
  <c r="Y345" i="6"/>
  <c r="Y343" i="8"/>
  <c r="Y42" i="6"/>
  <c r="Y42" i="8" s="1"/>
  <c r="O42" i="8"/>
  <c r="AB44" i="6"/>
  <c r="AB44" i="8" s="1"/>
  <c r="Q44" i="8"/>
  <c r="AA253" i="6"/>
  <c r="AA253" i="8" s="1"/>
  <c r="H253" i="8"/>
  <c r="AA129" i="6"/>
  <c r="AA131" i="6" s="1"/>
  <c r="AA131" i="8" s="1"/>
  <c r="Z111" i="8"/>
  <c r="AA205" i="6"/>
  <c r="AA203" i="8"/>
  <c r="Y695" i="6"/>
  <c r="Y693" i="8"/>
  <c r="Y44" i="6"/>
  <c r="Y44" i="8" s="1"/>
  <c r="O44" i="8"/>
  <c r="AB43" i="6"/>
  <c r="AB43" i="8" s="1"/>
  <c r="Q43" i="8"/>
  <c r="Y112" i="6"/>
  <c r="Y112" i="8" s="1"/>
  <c r="X112" i="8"/>
  <c r="X183" i="6"/>
  <c r="X183" i="8" s="1"/>
  <c r="F183" i="8"/>
  <c r="AA182" i="6"/>
  <c r="AA182" i="8" s="1"/>
  <c r="H182" i="8"/>
  <c r="AA345" i="6"/>
  <c r="AA343" i="8"/>
  <c r="Y766" i="6"/>
  <c r="Y766" i="8" s="1"/>
  <c r="Y765" i="8"/>
  <c r="Y275" i="6"/>
  <c r="Y273" i="8"/>
  <c r="AA695" i="6"/>
  <c r="AA693" i="8"/>
  <c r="AA626" i="6"/>
  <c r="AA626" i="8" s="1"/>
  <c r="AA625" i="8"/>
  <c r="Y43" i="6"/>
  <c r="Y43" i="8" s="1"/>
  <c r="O43" i="8"/>
  <c r="X182" i="6"/>
  <c r="X182" i="8" s="1"/>
  <c r="F182" i="8"/>
  <c r="Y625" i="6"/>
  <c r="Y623" i="8"/>
  <c r="Y415" i="6"/>
  <c r="Y413" i="8"/>
  <c r="AB42" i="6"/>
  <c r="AB42" i="8" s="1"/>
  <c r="Q42" i="8"/>
  <c r="Y129" i="6"/>
  <c r="Y131" i="6" s="1"/>
  <c r="Y131" i="8" s="1"/>
  <c r="W111" i="8"/>
  <c r="X184" i="6"/>
  <c r="X184" i="8" s="1"/>
  <c r="F184" i="8"/>
  <c r="AA183" i="6"/>
  <c r="AA183" i="8" s="1"/>
  <c r="H183" i="8"/>
  <c r="Y206" i="6"/>
  <c r="Y206" i="8" s="1"/>
  <c r="Y205" i="8"/>
  <c r="AA765" i="6"/>
  <c r="AA763" i="8"/>
  <c r="Y485" i="6"/>
  <c r="Y483" i="8"/>
  <c r="AA555" i="6"/>
  <c r="AA553" i="8"/>
  <c r="AA416" i="6"/>
  <c r="AA416" i="8" s="1"/>
  <c r="AA415" i="8"/>
  <c r="AA486" i="6"/>
  <c r="AA486" i="8" s="1"/>
  <c r="AA485" i="8"/>
  <c r="AA276" i="6"/>
  <c r="AA276" i="8" s="1"/>
  <c r="AA275" i="8"/>
  <c r="Y556" i="6"/>
  <c r="Y556" i="8" s="1"/>
  <c r="Y555" i="8"/>
  <c r="Q183" i="6"/>
  <c r="O184" i="6"/>
  <c r="O184" i="8" s="1"/>
  <c r="N41" i="6"/>
  <c r="N41" i="8" s="1"/>
  <c r="O182" i="6"/>
  <c r="Y114" i="6"/>
  <c r="Y114" i="8" s="1"/>
  <c r="F252" i="6"/>
  <c r="F254" i="6"/>
  <c r="H252" i="6"/>
  <c r="Q184" i="6"/>
  <c r="O183" i="6"/>
  <c r="Q182" i="6"/>
  <c r="Q182" i="8" s="1"/>
  <c r="AB113" i="6"/>
  <c r="AB113" i="8" s="1"/>
  <c r="AB114" i="6"/>
  <c r="AB114" i="8" s="1"/>
  <c r="AB112" i="6"/>
  <c r="AB112" i="8" s="1"/>
  <c r="F253" i="6"/>
  <c r="Y113" i="6"/>
  <c r="Y113" i="8" s="1"/>
  <c r="AA128" i="6"/>
  <c r="AA128" i="8" s="1"/>
  <c r="Q254" i="6"/>
  <c r="H324" i="6"/>
  <c r="Q253" i="6"/>
  <c r="H323" i="6"/>
  <c r="V9" i="6"/>
  <c r="V9" i="8" s="1"/>
  <c r="D149" i="6"/>
  <c r="D149" i="8" s="1"/>
  <c r="M9" i="6"/>
  <c r="M9" i="8" s="1"/>
  <c r="P41" i="6"/>
  <c r="P41" i="8" s="1"/>
  <c r="Z41" i="6"/>
  <c r="AH41" i="6" s="1"/>
  <c r="W41" i="6"/>
  <c r="AG41" i="6" s="1"/>
  <c r="G33" i="6"/>
  <c r="G33" i="8" s="1"/>
  <c r="E33" i="6"/>
  <c r="E33" i="8" s="1"/>
  <c r="E28" i="6"/>
  <c r="E28" i="8" s="1"/>
  <c r="G28" i="6"/>
  <c r="G28" i="8" s="1"/>
  <c r="E25" i="6"/>
  <c r="E25" i="8" s="1"/>
  <c r="G25" i="6"/>
  <c r="G25" i="8" s="1"/>
  <c r="G22" i="6"/>
  <c r="G22" i="8" s="1"/>
  <c r="E22" i="8"/>
  <c r="G17" i="6"/>
  <c r="G17" i="8" s="1"/>
  <c r="E17" i="6"/>
  <c r="E17" i="8" s="1"/>
  <c r="D10" i="6"/>
  <c r="D8" i="6"/>
  <c r="M79" i="6" l="1"/>
  <c r="M79" i="8" s="1"/>
  <c r="AA323" i="6"/>
  <c r="AA323" i="8" s="1"/>
  <c r="H323" i="8"/>
  <c r="X253" i="6"/>
  <c r="X253" i="8" s="1"/>
  <c r="F253" i="8"/>
  <c r="AB184" i="6"/>
  <c r="AB184" i="8" s="1"/>
  <c r="Q184" i="8"/>
  <c r="AB183" i="6"/>
  <c r="AB183" i="8" s="1"/>
  <c r="Q183" i="8"/>
  <c r="Y486" i="6"/>
  <c r="Y486" i="8" s="1"/>
  <c r="Y485" i="8"/>
  <c r="D80" i="6"/>
  <c r="D80" i="8" s="1"/>
  <c r="D10" i="8"/>
  <c r="Z41" i="8"/>
  <c r="AB253" i="6"/>
  <c r="AB253" i="8" s="1"/>
  <c r="Q253" i="8"/>
  <c r="Y184" i="6"/>
  <c r="Y184" i="8" s="1"/>
  <c r="AA252" i="6"/>
  <c r="AA252" i="8" s="1"/>
  <c r="H252" i="8"/>
  <c r="Y182" i="6"/>
  <c r="Y182" i="8" s="1"/>
  <c r="O182" i="8"/>
  <c r="Y626" i="6"/>
  <c r="Y626" i="8" s="1"/>
  <c r="Y625" i="8"/>
  <c r="AA696" i="6"/>
  <c r="AA696" i="8" s="1"/>
  <c r="AA695" i="8"/>
  <c r="AA206" i="6"/>
  <c r="AA206" i="8" s="1"/>
  <c r="AA205" i="8"/>
  <c r="AA133" i="6"/>
  <c r="AA129" i="8"/>
  <c r="Y346" i="6"/>
  <c r="Y346" i="8" s="1"/>
  <c r="Y345" i="8"/>
  <c r="V79" i="6"/>
  <c r="V79" i="8" s="1"/>
  <c r="AA324" i="6"/>
  <c r="AA324" i="8" s="1"/>
  <c r="H324" i="8"/>
  <c r="AB182" i="6"/>
  <c r="AB182" i="8" s="1"/>
  <c r="X254" i="6"/>
  <c r="X254" i="8" s="1"/>
  <c r="F254" i="8"/>
  <c r="AA556" i="6"/>
  <c r="AA556" i="8" s="1"/>
  <c r="AA555" i="8"/>
  <c r="AA766" i="6"/>
  <c r="AA766" i="8" s="1"/>
  <c r="AA765" i="8"/>
  <c r="D78" i="6"/>
  <c r="D78" i="8" s="1"/>
  <c r="D8" i="8"/>
  <c r="AB254" i="6"/>
  <c r="AB254" i="8" s="1"/>
  <c r="Q254" i="8"/>
  <c r="Y183" i="6"/>
  <c r="Y183" i="8" s="1"/>
  <c r="O183" i="8"/>
  <c r="X252" i="6"/>
  <c r="X252" i="8" s="1"/>
  <c r="F252" i="8"/>
  <c r="Y133" i="6"/>
  <c r="Y129" i="8"/>
  <c r="Y416" i="6"/>
  <c r="Y416" i="8" s="1"/>
  <c r="Y415" i="8"/>
  <c r="Y276" i="6"/>
  <c r="Y276" i="8" s="1"/>
  <c r="Y275" i="8"/>
  <c r="AA346" i="6"/>
  <c r="AA346" i="8" s="1"/>
  <c r="AA345" i="8"/>
  <c r="Y696" i="6"/>
  <c r="Y696" i="8" s="1"/>
  <c r="Y695" i="8"/>
  <c r="W41" i="8"/>
  <c r="H322" i="6"/>
  <c r="Q252" i="6"/>
  <c r="Y59" i="6"/>
  <c r="Y63" i="6" s="1"/>
  <c r="AA59" i="6"/>
  <c r="AA59" i="8" s="1"/>
  <c r="O252" i="6"/>
  <c r="F322" i="6"/>
  <c r="E41" i="6"/>
  <c r="E41" i="8" s="1"/>
  <c r="O253" i="6"/>
  <c r="O254" i="6"/>
  <c r="F324" i="6"/>
  <c r="O324" i="6" s="1"/>
  <c r="F323" i="6"/>
  <c r="Q324" i="6"/>
  <c r="H394" i="6"/>
  <c r="Q323" i="6"/>
  <c r="H393" i="6"/>
  <c r="D150" i="6"/>
  <c r="D150" i="8" s="1"/>
  <c r="V149" i="6"/>
  <c r="V149" i="8" s="1"/>
  <c r="D219" i="6"/>
  <c r="M149" i="6"/>
  <c r="M149" i="8" s="1"/>
  <c r="AA58" i="6"/>
  <c r="AA58" i="8" s="1"/>
  <c r="G41" i="6"/>
  <c r="G41" i="8" s="1"/>
  <c r="V10" i="6"/>
  <c r="V10" i="8" s="1"/>
  <c r="M10" i="6"/>
  <c r="M10" i="8" s="1"/>
  <c r="M8" i="6"/>
  <c r="M8" i="8" s="1"/>
  <c r="V8" i="6"/>
  <c r="V8" i="8" s="1"/>
  <c r="BK89" i="2"/>
  <c r="BJ89" i="2"/>
  <c r="BI89" i="2"/>
  <c r="BH89" i="2"/>
  <c r="BF89" i="2"/>
  <c r="BE89" i="2"/>
  <c r="BD89" i="2"/>
  <c r="BC89" i="2"/>
  <c r="BA89" i="2"/>
  <c r="AZ89" i="2"/>
  <c r="AY89" i="2"/>
  <c r="AX89" i="2"/>
  <c r="AV89" i="2"/>
  <c r="AU89" i="2"/>
  <c r="AT89" i="2"/>
  <c r="AS89" i="2"/>
  <c r="AQ89" i="2"/>
  <c r="AP89" i="2"/>
  <c r="AO89" i="2"/>
  <c r="AN89" i="2"/>
  <c r="AL89" i="2"/>
  <c r="AK89" i="2"/>
  <c r="AJ89" i="2"/>
  <c r="AI89" i="2"/>
  <c r="AG89" i="2"/>
  <c r="AF89" i="2"/>
  <c r="AE89" i="2"/>
  <c r="AD89" i="2"/>
  <c r="AB89" i="2"/>
  <c r="AA89" i="2"/>
  <c r="Z89" i="2"/>
  <c r="Y89" i="2"/>
  <c r="W89" i="2"/>
  <c r="V89" i="2"/>
  <c r="U89" i="2"/>
  <c r="T89" i="2"/>
  <c r="BK93" i="2"/>
  <c r="BJ93" i="2"/>
  <c r="BF93" i="2"/>
  <c r="BE93" i="2"/>
  <c r="BA93" i="2"/>
  <c r="AZ93" i="2"/>
  <c r="AV93" i="2"/>
  <c r="AU93" i="2"/>
  <c r="AQ93" i="2"/>
  <c r="AP93" i="2"/>
  <c r="AL93" i="2"/>
  <c r="AK93" i="2"/>
  <c r="AG93" i="2"/>
  <c r="AF93" i="2"/>
  <c r="AB93" i="2"/>
  <c r="AA93" i="2"/>
  <c r="W93" i="2"/>
  <c r="V93" i="2"/>
  <c r="R93" i="2"/>
  <c r="Q93" i="2"/>
  <c r="BK76" i="2"/>
  <c r="BJ76" i="2"/>
  <c r="BK72" i="2"/>
  <c r="BJ72" i="2"/>
  <c r="BF76" i="2"/>
  <c r="BE76" i="2"/>
  <c r="BF72" i="2"/>
  <c r="BE72" i="2"/>
  <c r="BA76" i="2"/>
  <c r="AZ76" i="2"/>
  <c r="BA72" i="2"/>
  <c r="AZ72" i="2"/>
  <c r="AV76" i="2"/>
  <c r="AU76" i="2"/>
  <c r="AV72" i="2"/>
  <c r="AU72" i="2"/>
  <c r="AQ76" i="2"/>
  <c r="AP76" i="2"/>
  <c r="AQ72" i="2"/>
  <c r="AP72" i="2"/>
  <c r="AL76" i="2"/>
  <c r="AK76" i="2"/>
  <c r="AL73" i="2"/>
  <c r="AK73" i="2"/>
  <c r="AL72" i="2"/>
  <c r="AK72" i="2"/>
  <c r="AG76" i="2"/>
  <c r="AF76" i="2"/>
  <c r="AG72" i="2"/>
  <c r="AF72" i="2"/>
  <c r="AB76" i="2"/>
  <c r="AA76" i="2"/>
  <c r="AB72" i="2"/>
  <c r="AA72" i="2"/>
  <c r="W76" i="2"/>
  <c r="V76" i="2"/>
  <c r="W72" i="2"/>
  <c r="V72" i="2"/>
  <c r="R72" i="2"/>
  <c r="Q72" i="2"/>
  <c r="R76" i="2"/>
  <c r="Q76" i="2"/>
  <c r="R73" i="2"/>
  <c r="Q73" i="2"/>
  <c r="J76" i="2"/>
  <c r="I76" i="2"/>
  <c r="R89" i="2"/>
  <c r="Q89" i="2"/>
  <c r="N23" i="2"/>
  <c r="M80" i="6" l="1"/>
  <c r="M80" i="8" s="1"/>
  <c r="M78" i="6"/>
  <c r="M78" i="8" s="1"/>
  <c r="AA63" i="6"/>
  <c r="AA63" i="8" s="1"/>
  <c r="V80" i="6"/>
  <c r="V80" i="8" s="1"/>
  <c r="D289" i="6"/>
  <c r="D289" i="8" s="1"/>
  <c r="D219" i="8"/>
  <c r="AA394" i="6"/>
  <c r="AA394" i="8" s="1"/>
  <c r="H394" i="8"/>
  <c r="Y252" i="6"/>
  <c r="Y252" i="8" s="1"/>
  <c r="O252" i="8"/>
  <c r="AA322" i="6"/>
  <c r="AA322" i="8" s="1"/>
  <c r="H322" i="8"/>
  <c r="AA65" i="6"/>
  <c r="D148" i="6"/>
  <c r="D148" i="8" s="1"/>
  <c r="AA393" i="6"/>
  <c r="AA393" i="8" s="1"/>
  <c r="H393" i="8"/>
  <c r="X323" i="6"/>
  <c r="X323" i="8" s="1"/>
  <c r="F323" i="8"/>
  <c r="AA135" i="6"/>
  <c r="AA133" i="8"/>
  <c r="AA61" i="6"/>
  <c r="AA61" i="8" s="1"/>
  <c r="AB323" i="6"/>
  <c r="AB323" i="8" s="1"/>
  <c r="Q323" i="8"/>
  <c r="X324" i="6"/>
  <c r="X324" i="8" s="1"/>
  <c r="F324" i="8"/>
  <c r="X322" i="6"/>
  <c r="X322" i="8" s="1"/>
  <c r="F322" i="8"/>
  <c r="AB252" i="6"/>
  <c r="AB252" i="8" s="1"/>
  <c r="Q252" i="8"/>
  <c r="Y254" i="6"/>
  <c r="Y254" i="8" s="1"/>
  <c r="O254" i="8"/>
  <c r="Y135" i="6"/>
  <c r="Y133" i="8"/>
  <c r="V78" i="6"/>
  <c r="V78" i="8" s="1"/>
  <c r="O324" i="8"/>
  <c r="AB324" i="6"/>
  <c r="AB324" i="8" s="1"/>
  <c r="Q324" i="8"/>
  <c r="Y253" i="6"/>
  <c r="Y253" i="8" s="1"/>
  <c r="O253" i="8"/>
  <c r="Y65" i="6"/>
  <c r="Y63" i="8"/>
  <c r="Y58" i="6"/>
  <c r="Y58" i="8" s="1"/>
  <c r="Y59" i="8"/>
  <c r="Y61" i="6"/>
  <c r="Y61" i="8" s="1"/>
  <c r="H392" i="6"/>
  <c r="H462" i="6" s="1"/>
  <c r="Q322" i="6"/>
  <c r="F392" i="6"/>
  <c r="O322" i="6"/>
  <c r="F394" i="6"/>
  <c r="O394" i="6" s="1"/>
  <c r="O323" i="6"/>
  <c r="F393" i="6"/>
  <c r="Q394" i="6"/>
  <c r="H464" i="6"/>
  <c r="Q393" i="6"/>
  <c r="H463" i="6"/>
  <c r="M289" i="6"/>
  <c r="M289" i="8" s="1"/>
  <c r="M150" i="6"/>
  <c r="M150" i="8" s="1"/>
  <c r="D220" i="6"/>
  <c r="V150" i="6"/>
  <c r="V150" i="8" s="1"/>
  <c r="V219" i="6"/>
  <c r="V219" i="8" s="1"/>
  <c r="M219" i="6"/>
  <c r="M219" i="8" s="1"/>
  <c r="BG23" i="2"/>
  <c r="BG24" i="2"/>
  <c r="BG27" i="2"/>
  <c r="BG30" i="2"/>
  <c r="BG33" i="2"/>
  <c r="BG34" i="2"/>
  <c r="BG37" i="2"/>
  <c r="BG38" i="2"/>
  <c r="BG39" i="2"/>
  <c r="BG46" i="2"/>
  <c r="BG47" i="2"/>
  <c r="BG48" i="2"/>
  <c r="BG49" i="2"/>
  <c r="BG50" i="2"/>
  <c r="BG51" i="2"/>
  <c r="BG52" i="2"/>
  <c r="BG53" i="2"/>
  <c r="BG54" i="2"/>
  <c r="BG22" i="2"/>
  <c r="BB23" i="2"/>
  <c r="BB24" i="2"/>
  <c r="BB27" i="2"/>
  <c r="BB30" i="2"/>
  <c r="BB33" i="2"/>
  <c r="BB34" i="2"/>
  <c r="BB37" i="2"/>
  <c r="BB38" i="2"/>
  <c r="BB39" i="2"/>
  <c r="BB46" i="2"/>
  <c r="BB47" i="2"/>
  <c r="BB48" i="2"/>
  <c r="BB49" i="2"/>
  <c r="BB50" i="2"/>
  <c r="BB51" i="2"/>
  <c r="BB52" i="2"/>
  <c r="BB53" i="2"/>
  <c r="BB54" i="2"/>
  <c r="BB22" i="2"/>
  <c r="AW23" i="2"/>
  <c r="AW24" i="2"/>
  <c r="AW27" i="2"/>
  <c r="AW30" i="2"/>
  <c r="AW33" i="2"/>
  <c r="AW34" i="2"/>
  <c r="AW37" i="2"/>
  <c r="AW38" i="2"/>
  <c r="AW39" i="2"/>
  <c r="AW46" i="2"/>
  <c r="AW47" i="2"/>
  <c r="AW48" i="2"/>
  <c r="AW49" i="2"/>
  <c r="AW50" i="2"/>
  <c r="AW51" i="2"/>
  <c r="AW52" i="2"/>
  <c r="AW53" i="2"/>
  <c r="AW54" i="2"/>
  <c r="AW22" i="2"/>
  <c r="AR23" i="2"/>
  <c r="AR24" i="2"/>
  <c r="AR27" i="2"/>
  <c r="AR30" i="2"/>
  <c r="AR33" i="2"/>
  <c r="AR34" i="2"/>
  <c r="AR37" i="2"/>
  <c r="AR38" i="2"/>
  <c r="AR39" i="2"/>
  <c r="AR46" i="2"/>
  <c r="AR47" i="2"/>
  <c r="AR48" i="2"/>
  <c r="AR49" i="2"/>
  <c r="AR50" i="2"/>
  <c r="AR51" i="2"/>
  <c r="AR52" i="2"/>
  <c r="AR53" i="2"/>
  <c r="AR54" i="2"/>
  <c r="AR22" i="2"/>
  <c r="AM23" i="2"/>
  <c r="AM24" i="2"/>
  <c r="AM27" i="2"/>
  <c r="AM30" i="2"/>
  <c r="AM33" i="2"/>
  <c r="AM34" i="2"/>
  <c r="AM37" i="2"/>
  <c r="AM38" i="2"/>
  <c r="AM39" i="2"/>
  <c r="AM46" i="2"/>
  <c r="AM47" i="2"/>
  <c r="AM48" i="2"/>
  <c r="AM49" i="2"/>
  <c r="AM50" i="2"/>
  <c r="AM51" i="2"/>
  <c r="AM52" i="2"/>
  <c r="AM53" i="2"/>
  <c r="AM54" i="2"/>
  <c r="AM22" i="2"/>
  <c r="Y324" i="6" l="1"/>
  <c r="Y324" i="8" s="1"/>
  <c r="V289" i="6"/>
  <c r="V289" i="8" s="1"/>
  <c r="D359" i="6"/>
  <c r="D359" i="8" s="1"/>
  <c r="D218" i="6"/>
  <c r="D218" i="8" s="1"/>
  <c r="Q392" i="6"/>
  <c r="Q392" i="8" s="1"/>
  <c r="M148" i="6"/>
  <c r="M148" i="8" s="1"/>
  <c r="F464" i="6"/>
  <c r="X464" i="6" s="1"/>
  <c r="X464" i="8" s="1"/>
  <c r="V148" i="6"/>
  <c r="V148" i="8" s="1"/>
  <c r="D290" i="6"/>
  <c r="D290" i="8" s="1"/>
  <c r="D220" i="8"/>
  <c r="AA462" i="6"/>
  <c r="AA462" i="8" s="1"/>
  <c r="H462" i="8"/>
  <c r="AB394" i="6"/>
  <c r="AB394" i="8" s="1"/>
  <c r="Q394" i="8"/>
  <c r="O394" i="8"/>
  <c r="AB393" i="6"/>
  <c r="AB393" i="8" s="1"/>
  <c r="Q393" i="8"/>
  <c r="Y323" i="6"/>
  <c r="Y323" i="8" s="1"/>
  <c r="O323" i="8"/>
  <c r="AB322" i="6"/>
  <c r="AB322" i="8" s="1"/>
  <c r="Q322" i="8"/>
  <c r="AA136" i="6"/>
  <c r="AA136" i="8" s="1"/>
  <c r="AA135" i="8"/>
  <c r="D288" i="6"/>
  <c r="D288" i="8" s="1"/>
  <c r="AA464" i="6"/>
  <c r="AA464" i="8" s="1"/>
  <c r="H464" i="8"/>
  <c r="X394" i="6"/>
  <c r="X394" i="8" s="1"/>
  <c r="F394" i="8"/>
  <c r="AA392" i="6"/>
  <c r="AA392" i="8" s="1"/>
  <c r="H392" i="8"/>
  <c r="Y322" i="6"/>
  <c r="Y322" i="8" s="1"/>
  <c r="O322" i="8"/>
  <c r="AA463" i="6"/>
  <c r="AA463" i="8" s="1"/>
  <c r="H463" i="8"/>
  <c r="X393" i="6"/>
  <c r="X393" i="8" s="1"/>
  <c r="F393" i="8"/>
  <c r="X392" i="6"/>
  <c r="X392" i="8" s="1"/>
  <c r="F392" i="8"/>
  <c r="Y136" i="6"/>
  <c r="Y136" i="8" s="1"/>
  <c r="Y135" i="8"/>
  <c r="AA65" i="8"/>
  <c r="Y65" i="8"/>
  <c r="F462" i="6"/>
  <c r="O392" i="6"/>
  <c r="F463" i="6"/>
  <c r="O393" i="6"/>
  <c r="O393" i="8" s="1"/>
  <c r="H534" i="6"/>
  <c r="H534" i="8" s="1"/>
  <c r="Q464" i="6"/>
  <c r="Q463" i="6"/>
  <c r="H533" i="6"/>
  <c r="H533" i="8" s="1"/>
  <c r="Q462" i="6"/>
  <c r="H532" i="6"/>
  <c r="H532" i="8" s="1"/>
  <c r="O464" i="6"/>
  <c r="F534" i="6"/>
  <c r="F534" i="8" s="1"/>
  <c r="D360" i="6"/>
  <c r="D360" i="8" s="1"/>
  <c r="M359" i="6"/>
  <c r="M359" i="8" s="1"/>
  <c r="D429" i="6"/>
  <c r="D429" i="8" s="1"/>
  <c r="V359" i="6"/>
  <c r="V359" i="8" s="1"/>
  <c r="V220" i="6"/>
  <c r="V220" i="8" s="1"/>
  <c r="M220" i="6"/>
  <c r="M220" i="8" s="1"/>
  <c r="M218" i="6"/>
  <c r="M218" i="8" s="1"/>
  <c r="R52" i="5"/>
  <c r="R53" i="5" s="1"/>
  <c r="Q52" i="5"/>
  <c r="Q53" i="5" s="1"/>
  <c r="P52" i="5"/>
  <c r="P53" i="5" s="1"/>
  <c r="O52" i="5"/>
  <c r="O53" i="5" s="1"/>
  <c r="N52" i="5"/>
  <c r="N53" i="5" s="1"/>
  <c r="M52" i="5"/>
  <c r="M53" i="5" s="1"/>
  <c r="L52" i="5"/>
  <c r="L53" i="5" s="1"/>
  <c r="K52" i="5"/>
  <c r="K53" i="5" s="1"/>
  <c r="J52" i="5"/>
  <c r="I52" i="5"/>
  <c r="I53" i="5" s="1"/>
  <c r="BI76" i="2"/>
  <c r="BH76" i="2"/>
  <c r="BD76" i="2"/>
  <c r="BC76" i="2"/>
  <c r="AY76" i="2"/>
  <c r="AX76" i="2"/>
  <c r="AT76" i="2"/>
  <c r="AS76" i="2"/>
  <c r="F93" i="2"/>
  <c r="J93" i="2" s="1"/>
  <c r="E93" i="2"/>
  <c r="C66" i="8" s="1"/>
  <c r="AA57" i="2" l="1"/>
  <c r="AB57" i="2"/>
  <c r="AP57" i="2"/>
  <c r="AQ57" i="2"/>
  <c r="D358" i="6"/>
  <c r="D358" i="8" s="1"/>
  <c r="AV57" i="2"/>
  <c r="AU57" i="2"/>
  <c r="AF57" i="2"/>
  <c r="AG57" i="2"/>
  <c r="AK57" i="2"/>
  <c r="AL57" i="2"/>
  <c r="AZ57" i="2"/>
  <c r="BA57" i="2"/>
  <c r="Q57" i="2"/>
  <c r="R57" i="2"/>
  <c r="F464" i="8"/>
  <c r="BE57" i="2"/>
  <c r="BF57" i="2"/>
  <c r="J58" i="5"/>
  <c r="J53" i="5"/>
  <c r="BJ57" i="2"/>
  <c r="BK57" i="2"/>
  <c r="V218" i="6"/>
  <c r="V218" i="8" s="1"/>
  <c r="Y66" i="6"/>
  <c r="Y66" i="8" s="1"/>
  <c r="L66" i="8"/>
  <c r="U66" i="8"/>
  <c r="AA66" i="6"/>
  <c r="AA66" i="8" s="1"/>
  <c r="M288" i="6"/>
  <c r="M288" i="8" s="1"/>
  <c r="V290" i="6"/>
  <c r="V290" i="8" s="1"/>
  <c r="M290" i="6"/>
  <c r="M290" i="8" s="1"/>
  <c r="AB463" i="6"/>
  <c r="AB463" i="8" s="1"/>
  <c r="Q463" i="8"/>
  <c r="AB462" i="6"/>
  <c r="AB462" i="8" s="1"/>
  <c r="Q462" i="8"/>
  <c r="Y392" i="6"/>
  <c r="Y392" i="8" s="1"/>
  <c r="O392" i="8"/>
  <c r="V288" i="6"/>
  <c r="V288" i="8" s="1"/>
  <c r="Y393" i="6"/>
  <c r="Y393" i="8" s="1"/>
  <c r="X462" i="6"/>
  <c r="X462" i="8" s="1"/>
  <c r="F462" i="8"/>
  <c r="AB392" i="6"/>
  <c r="AB392" i="8" s="1"/>
  <c r="Y394" i="6"/>
  <c r="Y394" i="8" s="1"/>
  <c r="Y464" i="6"/>
  <c r="Y464" i="8" s="1"/>
  <c r="O464" i="8"/>
  <c r="AB464" i="6"/>
  <c r="AB464" i="8" s="1"/>
  <c r="Q464" i="8"/>
  <c r="X463" i="6"/>
  <c r="X463" i="8" s="1"/>
  <c r="F463" i="8"/>
  <c r="F532" i="6"/>
  <c r="O463" i="6"/>
  <c r="O462" i="6"/>
  <c r="F533" i="6"/>
  <c r="P214" i="6"/>
  <c r="P214" i="8" s="1"/>
  <c r="K58" i="5"/>
  <c r="P494" i="6"/>
  <c r="P494" i="8" s="1"/>
  <c r="O58" i="5"/>
  <c r="P284" i="6"/>
  <c r="P284" i="8" s="1"/>
  <c r="L58" i="5"/>
  <c r="P354" i="6"/>
  <c r="P354" i="8" s="1"/>
  <c r="M58" i="5"/>
  <c r="P634" i="6"/>
  <c r="P634" i="8" s="1"/>
  <c r="Q58" i="5"/>
  <c r="P424" i="6"/>
  <c r="P424" i="8" s="1"/>
  <c r="N58" i="5"/>
  <c r="P704" i="6"/>
  <c r="P704" i="8" s="1"/>
  <c r="R58" i="5"/>
  <c r="P564" i="6"/>
  <c r="P564" i="8" s="1"/>
  <c r="P58" i="5"/>
  <c r="X534" i="6"/>
  <c r="X534" i="8" s="1"/>
  <c r="AA534" i="6"/>
  <c r="AA534" i="8" s="1"/>
  <c r="Q534" i="6"/>
  <c r="Q534" i="8" s="1"/>
  <c r="H604" i="6"/>
  <c r="Q533" i="6"/>
  <c r="Q533" i="8" s="1"/>
  <c r="H603" i="6"/>
  <c r="H602" i="6"/>
  <c r="Q532" i="6"/>
  <c r="Q532" i="8" s="1"/>
  <c r="O534" i="6"/>
  <c r="O534" i="8" s="1"/>
  <c r="F604" i="6"/>
  <c r="D430" i="6"/>
  <c r="D430" i="8" s="1"/>
  <c r="V360" i="6"/>
  <c r="V360" i="8" s="1"/>
  <c r="M360" i="6"/>
  <c r="M360" i="8" s="1"/>
  <c r="M429" i="6"/>
  <c r="M429" i="8" s="1"/>
  <c r="D499" i="6"/>
  <c r="D499" i="8" s="1"/>
  <c r="V429" i="6"/>
  <c r="V429" i="8" s="1"/>
  <c r="M358" i="6"/>
  <c r="M358" i="8" s="1"/>
  <c r="P74" i="6"/>
  <c r="P74" i="8" s="1"/>
  <c r="P144" i="6"/>
  <c r="P144" i="8" s="1"/>
  <c r="C66" i="6"/>
  <c r="I93" i="2"/>
  <c r="V358" i="6" l="1"/>
  <c r="V358" i="8" s="1"/>
  <c r="D428" i="6"/>
  <c r="D428" i="8" s="1"/>
  <c r="V57" i="2"/>
  <c r="W57" i="2"/>
  <c r="X533" i="6"/>
  <c r="X533" i="8" s="1"/>
  <c r="F533" i="8"/>
  <c r="Y463" i="6"/>
  <c r="Y463" i="8" s="1"/>
  <c r="O463" i="8"/>
  <c r="AA604" i="6"/>
  <c r="AA604" i="8" s="1"/>
  <c r="H604" i="8"/>
  <c r="AA532" i="6"/>
  <c r="AA532" i="8" s="1"/>
  <c r="F532" i="8"/>
  <c r="AA602" i="6"/>
  <c r="AA602" i="8" s="1"/>
  <c r="H602" i="8"/>
  <c r="X604" i="6"/>
  <c r="X604" i="8" s="1"/>
  <c r="F604" i="8"/>
  <c r="AA603" i="6"/>
  <c r="AA603" i="8" s="1"/>
  <c r="H603" i="8"/>
  <c r="Y462" i="6"/>
  <c r="Y462" i="8" s="1"/>
  <c r="O462" i="8"/>
  <c r="X532" i="6"/>
  <c r="X532" i="8" s="1"/>
  <c r="O533" i="6"/>
  <c r="O533" i="8" s="1"/>
  <c r="AA533" i="6"/>
  <c r="AA533" i="8" s="1"/>
  <c r="F603" i="6"/>
  <c r="F602" i="6"/>
  <c r="O532" i="6"/>
  <c r="O532" i="8" s="1"/>
  <c r="Y534" i="6"/>
  <c r="Y534" i="8" s="1"/>
  <c r="U66" i="6"/>
  <c r="L66" i="6"/>
  <c r="AB534" i="6"/>
  <c r="AB534" i="8" s="1"/>
  <c r="Q604" i="6"/>
  <c r="H674" i="6"/>
  <c r="Q603" i="6"/>
  <c r="H673" i="6"/>
  <c r="Q602" i="6"/>
  <c r="H672" i="6"/>
  <c r="F674" i="6"/>
  <c r="O604" i="6"/>
  <c r="D500" i="6"/>
  <c r="D500" i="8" s="1"/>
  <c r="V430" i="6"/>
  <c r="V430" i="8" s="1"/>
  <c r="M430" i="6"/>
  <c r="M430" i="8" s="1"/>
  <c r="D569" i="6"/>
  <c r="D569" i="8" s="1"/>
  <c r="M499" i="6"/>
  <c r="M499" i="8" s="1"/>
  <c r="V499" i="6"/>
  <c r="V499" i="8" s="1"/>
  <c r="V428" i="6"/>
  <c r="V428" i="8" s="1"/>
  <c r="D498" i="6"/>
  <c r="D498" i="8" s="1"/>
  <c r="M428" i="6"/>
  <c r="M428" i="8" s="1"/>
  <c r="H52" i="5"/>
  <c r="H53" i="5" s="1"/>
  <c r="Y533" i="6" l="1"/>
  <c r="Y533" i="8" s="1"/>
  <c r="AB533" i="6"/>
  <c r="AB533" i="8" s="1"/>
  <c r="I57" i="2"/>
  <c r="J57" i="2"/>
  <c r="AB532" i="6"/>
  <c r="AB532" i="8" s="1"/>
  <c r="AB604" i="6"/>
  <c r="AB604" i="8" s="1"/>
  <c r="Q604" i="8"/>
  <c r="Y604" i="6"/>
  <c r="Y604" i="8" s="1"/>
  <c r="O604" i="8"/>
  <c r="AA673" i="6"/>
  <c r="AA673" i="8" s="1"/>
  <c r="H673" i="8"/>
  <c r="X674" i="6"/>
  <c r="X674" i="8" s="1"/>
  <c r="F674" i="8"/>
  <c r="AB603" i="6"/>
  <c r="AB603" i="8" s="1"/>
  <c r="Q603" i="8"/>
  <c r="X603" i="6"/>
  <c r="X603" i="8" s="1"/>
  <c r="F603" i="8"/>
  <c r="AA672" i="6"/>
  <c r="AA672" i="8" s="1"/>
  <c r="H672" i="8"/>
  <c r="AA674" i="6"/>
  <c r="AA674" i="8" s="1"/>
  <c r="H674" i="8"/>
  <c r="AB602" i="6"/>
  <c r="AB602" i="8" s="1"/>
  <c r="Q602" i="8"/>
  <c r="X602" i="6"/>
  <c r="X602" i="8" s="1"/>
  <c r="F602" i="8"/>
  <c r="O603" i="6"/>
  <c r="F672" i="6"/>
  <c r="F673" i="6"/>
  <c r="O673" i="6" s="1"/>
  <c r="Y532" i="6"/>
  <c r="Y532" i="8" s="1"/>
  <c r="O602" i="6"/>
  <c r="Q674" i="6"/>
  <c r="H744" i="6"/>
  <c r="H744" i="8" s="1"/>
  <c r="Q673" i="6"/>
  <c r="H743" i="6"/>
  <c r="H743" i="8" s="1"/>
  <c r="Q672" i="6"/>
  <c r="H742" i="6"/>
  <c r="H742" i="8" s="1"/>
  <c r="F744" i="6"/>
  <c r="F744" i="8" s="1"/>
  <c r="O674" i="6"/>
  <c r="V500" i="6"/>
  <c r="V500" i="8" s="1"/>
  <c r="M500" i="6"/>
  <c r="M500" i="8" s="1"/>
  <c r="D570" i="6"/>
  <c r="D570" i="8" s="1"/>
  <c r="D639" i="6"/>
  <c r="D639" i="8" s="1"/>
  <c r="V569" i="6"/>
  <c r="V569" i="8" s="1"/>
  <c r="M569" i="6"/>
  <c r="M569" i="8" s="1"/>
  <c r="M498" i="6"/>
  <c r="M498" i="8" s="1"/>
  <c r="D568" i="6"/>
  <c r="D568" i="8" s="1"/>
  <c r="V498" i="6"/>
  <c r="V498" i="8" s="1"/>
  <c r="P4" i="6"/>
  <c r="P4" i="8" s="1"/>
  <c r="O673" i="8" l="1"/>
  <c r="AB672" i="6"/>
  <c r="AB672" i="8" s="1"/>
  <c r="Q672" i="8"/>
  <c r="X672" i="6"/>
  <c r="X672" i="8" s="1"/>
  <c r="F672" i="8"/>
  <c r="F742" i="6"/>
  <c r="F742" i="8" s="1"/>
  <c r="Y674" i="6"/>
  <c r="Y674" i="8" s="1"/>
  <c r="O674" i="8"/>
  <c r="Y603" i="6"/>
  <c r="Y603" i="8" s="1"/>
  <c r="O603" i="8"/>
  <c r="O672" i="6"/>
  <c r="AB673" i="6"/>
  <c r="AB673" i="8" s="1"/>
  <c r="Q673" i="8"/>
  <c r="X673" i="6"/>
  <c r="X673" i="8" s="1"/>
  <c r="F673" i="8"/>
  <c r="F743" i="6"/>
  <c r="F743" i="8" s="1"/>
  <c r="AB674" i="6"/>
  <c r="AB674" i="8" s="1"/>
  <c r="Q674" i="8"/>
  <c r="Y602" i="6"/>
  <c r="Y602" i="8" s="1"/>
  <c r="O602" i="8"/>
  <c r="Q744" i="6"/>
  <c r="Q744" i="8" s="1"/>
  <c r="AA744" i="6"/>
  <c r="AA744" i="8" s="1"/>
  <c r="Q743" i="6"/>
  <c r="Q743" i="8" s="1"/>
  <c r="AA743" i="6"/>
  <c r="AA743" i="8" s="1"/>
  <c r="Q742" i="6"/>
  <c r="Q742" i="8" s="1"/>
  <c r="AA742" i="6"/>
  <c r="AA742" i="8" s="1"/>
  <c r="O744" i="6"/>
  <c r="O744" i="8" s="1"/>
  <c r="X744" i="6"/>
  <c r="X744" i="8" s="1"/>
  <c r="X742" i="6"/>
  <c r="X742" i="8" s="1"/>
  <c r="V570" i="6"/>
  <c r="V570" i="8" s="1"/>
  <c r="D640" i="6"/>
  <c r="D640" i="8" s="1"/>
  <c r="M570" i="6"/>
  <c r="M570" i="8" s="1"/>
  <c r="D709" i="6"/>
  <c r="D709" i="8" s="1"/>
  <c r="M639" i="6"/>
  <c r="M639" i="8" s="1"/>
  <c r="V639" i="6"/>
  <c r="V639" i="8" s="1"/>
  <c r="M568" i="6"/>
  <c r="M568" i="8" s="1"/>
  <c r="V568" i="6"/>
  <c r="V568" i="8" s="1"/>
  <c r="D638" i="6"/>
  <c r="D638" i="8" s="1"/>
  <c r="E42" i="4"/>
  <c r="E41" i="4"/>
  <c r="O742" i="6" l="1"/>
  <c r="O742" i="8" s="1"/>
  <c r="O743" i="6"/>
  <c r="O743" i="8" s="1"/>
  <c r="Y673" i="6"/>
  <c r="Y673" i="8" s="1"/>
  <c r="Y672" i="6"/>
  <c r="Y672" i="8" s="1"/>
  <c r="O672" i="8"/>
  <c r="X743" i="6"/>
  <c r="X743" i="8" s="1"/>
  <c r="Y742" i="6"/>
  <c r="Y742" i="8" s="1"/>
  <c r="AB744" i="6"/>
  <c r="AB744" i="8" s="1"/>
  <c r="AB743" i="6"/>
  <c r="AB743" i="8" s="1"/>
  <c r="AB742" i="6"/>
  <c r="AB742" i="8" s="1"/>
  <c r="Y744" i="6"/>
  <c r="Y744" i="8" s="1"/>
  <c r="V640" i="6"/>
  <c r="V640" i="8" s="1"/>
  <c r="D710" i="6"/>
  <c r="D710" i="8" s="1"/>
  <c r="M640" i="6"/>
  <c r="M640" i="8" s="1"/>
  <c r="M709" i="6"/>
  <c r="M709" i="8" s="1"/>
  <c r="V709" i="6"/>
  <c r="V709" i="8" s="1"/>
  <c r="M638" i="6"/>
  <c r="M638" i="8" s="1"/>
  <c r="D708" i="6"/>
  <c r="D708" i="8" s="1"/>
  <c r="V638" i="6"/>
  <c r="V638" i="8" s="1"/>
  <c r="I28" i="2"/>
  <c r="I89" i="2"/>
  <c r="J25" i="2"/>
  <c r="J28" i="2"/>
  <c r="J89" i="2"/>
  <c r="BL76" i="2"/>
  <c r="BM76" i="2"/>
  <c r="Y743" i="6" l="1"/>
  <c r="Y743" i="8" s="1"/>
  <c r="V710" i="6"/>
  <c r="V710" i="8" s="1"/>
  <c r="M710" i="6"/>
  <c r="M710" i="8" s="1"/>
  <c r="M708" i="6"/>
  <c r="M708" i="8" s="1"/>
  <c r="V708" i="6"/>
  <c r="V708" i="8" s="1"/>
  <c r="Q23" i="6"/>
  <c r="Q23" i="8" s="1"/>
  <c r="J66" i="5"/>
  <c r="Q20" i="6"/>
  <c r="Q20" i="8" s="1"/>
  <c r="J63" i="5"/>
  <c r="I66" i="5"/>
  <c r="O23" i="6"/>
  <c r="O23" i="8" s="1"/>
  <c r="O20" i="6"/>
  <c r="O20" i="8" s="1"/>
  <c r="I63" i="5"/>
  <c r="D7" i="6"/>
  <c r="D6" i="6"/>
  <c r="AH54" i="2"/>
  <c r="AH53" i="2"/>
  <c r="AH52" i="2"/>
  <c r="AH51" i="2"/>
  <c r="AH50" i="2"/>
  <c r="AH49" i="2"/>
  <c r="AH48" i="2"/>
  <c r="AH47" i="2"/>
  <c r="AH46" i="2"/>
  <c r="AH39" i="2"/>
  <c r="AH38" i="2"/>
  <c r="AH37" i="2"/>
  <c r="AH34" i="2"/>
  <c r="AH33" i="2"/>
  <c r="AH30" i="2"/>
  <c r="AH27" i="2"/>
  <c r="AH24" i="2"/>
  <c r="AH23" i="2"/>
  <c r="AH22" i="2"/>
  <c r="D76" i="6" l="1"/>
  <c r="D76" i="8" s="1"/>
  <c r="D6" i="8"/>
  <c r="D77" i="6"/>
  <c r="D77" i="8" s="1"/>
  <c r="D7" i="8"/>
  <c r="V76" i="6"/>
  <c r="V76" i="8" s="1"/>
  <c r="V7" i="6"/>
  <c r="V7" i="8" s="1"/>
  <c r="M7" i="6"/>
  <c r="M7" i="8" s="1"/>
  <c r="M6" i="6"/>
  <c r="M6" i="8" s="1"/>
  <c r="V6" i="6"/>
  <c r="V6" i="8" s="1"/>
  <c r="D146" i="6" l="1"/>
  <c r="D146" i="8" s="1"/>
  <c r="M76" i="6"/>
  <c r="M76" i="8" s="1"/>
  <c r="D147" i="6"/>
  <c r="D147" i="8" s="1"/>
  <c r="V77" i="6"/>
  <c r="V77" i="8" s="1"/>
  <c r="M77" i="6"/>
  <c r="M77" i="8" s="1"/>
  <c r="H31" i="1"/>
  <c r="F31" i="1"/>
  <c r="E36" i="2" s="1"/>
  <c r="M147" i="6" l="1"/>
  <c r="M147" i="8" s="1"/>
  <c r="M146" i="6"/>
  <c r="M146" i="8" s="1"/>
  <c r="V146" i="6"/>
  <c r="V146" i="8" s="1"/>
  <c r="D216" i="6"/>
  <c r="D286" i="6" s="1"/>
  <c r="V147" i="6"/>
  <c r="V147" i="8" s="1"/>
  <c r="D217" i="6"/>
  <c r="V217" i="6" s="1"/>
  <c r="V217" i="8" s="1"/>
  <c r="AC23" i="2"/>
  <c r="AC24" i="2"/>
  <c r="AC27" i="2"/>
  <c r="AC30" i="2"/>
  <c r="AC33" i="2"/>
  <c r="AC34" i="2"/>
  <c r="AC37" i="2"/>
  <c r="AC38" i="2"/>
  <c r="AC39" i="2"/>
  <c r="AC46" i="2"/>
  <c r="AC47" i="2"/>
  <c r="AC48" i="2"/>
  <c r="AC49" i="2"/>
  <c r="AC50" i="2"/>
  <c r="AC51" i="2"/>
  <c r="AC52" i="2"/>
  <c r="AC53" i="2"/>
  <c r="AC54" i="2"/>
  <c r="AC22" i="2"/>
  <c r="X23" i="2"/>
  <c r="X24" i="2"/>
  <c r="X27" i="2"/>
  <c r="X30" i="2"/>
  <c r="X33" i="2"/>
  <c r="X34" i="2"/>
  <c r="X37" i="2"/>
  <c r="X38" i="2"/>
  <c r="X39" i="2"/>
  <c r="X46" i="2"/>
  <c r="X47" i="2"/>
  <c r="X48" i="2"/>
  <c r="X49" i="2"/>
  <c r="X50" i="2"/>
  <c r="X51" i="2"/>
  <c r="X52" i="2"/>
  <c r="X53" i="2"/>
  <c r="X54" i="2"/>
  <c r="X22" i="2"/>
  <c r="M216" i="6" l="1"/>
  <c r="M216" i="8" s="1"/>
  <c r="D286" i="8"/>
  <c r="D356" i="6"/>
  <c r="D356" i="8" s="1"/>
  <c r="V286" i="6"/>
  <c r="V286" i="8" s="1"/>
  <c r="V216" i="6"/>
  <c r="V216" i="8" s="1"/>
  <c r="M217" i="6"/>
  <c r="M217" i="8" s="1"/>
  <c r="D216" i="8"/>
  <c r="D287" i="6"/>
  <c r="D217" i="8"/>
  <c r="M286" i="6"/>
  <c r="M286" i="8" s="1"/>
  <c r="D426" i="6"/>
  <c r="D426" i="8" s="1"/>
  <c r="S23" i="2"/>
  <c r="S24" i="2"/>
  <c r="S27" i="2"/>
  <c r="S30" i="2"/>
  <c r="S33" i="2"/>
  <c r="S34" i="2"/>
  <c r="S37" i="2"/>
  <c r="S38" i="2"/>
  <c r="S39" i="2"/>
  <c r="S46" i="2"/>
  <c r="S47" i="2"/>
  <c r="S48" i="2"/>
  <c r="S49" i="2"/>
  <c r="S50" i="2"/>
  <c r="S51" i="2"/>
  <c r="S52" i="2"/>
  <c r="S53" i="2"/>
  <c r="S54" i="2"/>
  <c r="S22" i="2"/>
  <c r="N24" i="2"/>
  <c r="N27" i="2"/>
  <c r="N30" i="2"/>
  <c r="N33" i="2"/>
  <c r="N34" i="2"/>
  <c r="N37" i="2"/>
  <c r="N38" i="2"/>
  <c r="N39" i="2"/>
  <c r="N46" i="2"/>
  <c r="N47" i="2"/>
  <c r="N48" i="2"/>
  <c r="N49" i="2"/>
  <c r="N50" i="2"/>
  <c r="N51" i="2"/>
  <c r="N52" i="2"/>
  <c r="N53" i="2"/>
  <c r="N54" i="2"/>
  <c r="N22" i="2"/>
  <c r="F7" i="2"/>
  <c r="N26" i="2" s="1"/>
  <c r="F8" i="2"/>
  <c r="N35" i="2" s="1"/>
  <c r="F9" i="2"/>
  <c r="I9" i="2" s="1"/>
  <c r="L9" i="2" s="1"/>
  <c r="O9" i="2" s="1"/>
  <c r="R9" i="2" s="1"/>
  <c r="U9" i="2" s="1"/>
  <c r="X9" i="2" s="1"/>
  <c r="AA9" i="2" s="1"/>
  <c r="AD9" i="2" s="1"/>
  <c r="AG9" i="2" s="1"/>
  <c r="F10" i="2"/>
  <c r="F14" i="2"/>
  <c r="I14" i="2" s="1"/>
  <c r="L14" i="2" s="1"/>
  <c r="X29" i="2" s="1"/>
  <c r="F6" i="2"/>
  <c r="N28" i="2" s="1"/>
  <c r="N44" i="2" l="1"/>
  <c r="J31" i="5"/>
  <c r="K31" i="5"/>
  <c r="N43" i="2"/>
  <c r="N36" i="2"/>
  <c r="O36" i="2" s="1"/>
  <c r="N42" i="2"/>
  <c r="M356" i="6"/>
  <c r="M356" i="8" s="1"/>
  <c r="V356" i="6"/>
  <c r="V356" i="8" s="1"/>
  <c r="D287" i="8"/>
  <c r="M287" i="6"/>
  <c r="M287" i="8" s="1"/>
  <c r="V287" i="6"/>
  <c r="V287" i="8" s="1"/>
  <c r="D357" i="6"/>
  <c r="D496" i="6"/>
  <c r="D496" i="8" s="1"/>
  <c r="V426" i="6"/>
  <c r="V426" i="8" s="1"/>
  <c r="M426" i="6"/>
  <c r="M426" i="8" s="1"/>
  <c r="R28" i="2"/>
  <c r="Q28" i="2"/>
  <c r="P28" i="2"/>
  <c r="O28" i="2"/>
  <c r="N41" i="2"/>
  <c r="N25" i="2"/>
  <c r="I8" i="2"/>
  <c r="L8" i="2" s="1"/>
  <c r="X35" i="2" s="1"/>
  <c r="I7" i="2"/>
  <c r="L7" i="2" s="1"/>
  <c r="O7" i="2" s="1"/>
  <c r="R7" i="2" s="1"/>
  <c r="AH40" i="2" s="1"/>
  <c r="N29" i="2"/>
  <c r="I6" i="2"/>
  <c r="N40" i="2"/>
  <c r="N45" i="2"/>
  <c r="I10" i="2"/>
  <c r="O14" i="2"/>
  <c r="S29" i="2"/>
  <c r="M31" i="5" l="1"/>
  <c r="L31" i="5"/>
  <c r="D357" i="8"/>
  <c r="V357" i="6"/>
  <c r="V357" i="8" s="1"/>
  <c r="D427" i="6"/>
  <c r="M357" i="6"/>
  <c r="M357" i="8" s="1"/>
  <c r="S96" i="2"/>
  <c r="S43" i="2"/>
  <c r="S42" i="2"/>
  <c r="O8" i="2"/>
  <c r="R8" i="2" s="1"/>
  <c r="V496" i="6"/>
  <c r="V496" i="8" s="1"/>
  <c r="D566" i="6"/>
  <c r="D566" i="8" s="1"/>
  <c r="M496" i="6"/>
  <c r="M496" i="8" s="1"/>
  <c r="O93" i="6"/>
  <c r="O93" i="8" s="1"/>
  <c r="M66" i="5"/>
  <c r="Q93" i="6"/>
  <c r="Q93" i="8" s="1"/>
  <c r="N66" i="5"/>
  <c r="AH26" i="2"/>
  <c r="L10" i="2"/>
  <c r="AC26" i="2"/>
  <c r="R25" i="2"/>
  <c r="Q25" i="2"/>
  <c r="P25" i="2"/>
  <c r="O25" i="2"/>
  <c r="X26" i="2"/>
  <c r="S28" i="2"/>
  <c r="L6" i="2"/>
  <c r="X28" i="2" s="1"/>
  <c r="S41" i="2"/>
  <c r="S35" i="2"/>
  <c r="X25" i="2"/>
  <c r="S40" i="2"/>
  <c r="AC25" i="2"/>
  <c r="S36" i="2"/>
  <c r="U7" i="2"/>
  <c r="AH25" i="2"/>
  <c r="X41" i="2"/>
  <c r="AC41" i="2"/>
  <c r="S26" i="2"/>
  <c r="AH41" i="2"/>
  <c r="S25" i="2"/>
  <c r="X40" i="2"/>
  <c r="AC40" i="2"/>
  <c r="S44" i="2"/>
  <c r="S45" i="2"/>
  <c r="AC29" i="2"/>
  <c r="R14" i="2"/>
  <c r="G61" i="1"/>
  <c r="H76" i="2"/>
  <c r="G76" i="2"/>
  <c r="AO76" i="2"/>
  <c r="AN76" i="2"/>
  <c r="AJ76" i="2"/>
  <c r="AI76" i="2"/>
  <c r="AE76" i="2"/>
  <c r="AD76" i="2"/>
  <c r="Z76" i="2"/>
  <c r="Y76" i="2"/>
  <c r="X36" i="2" l="1"/>
  <c r="N31" i="5"/>
  <c r="O31" i="5"/>
  <c r="D427" i="8"/>
  <c r="M427" i="6"/>
  <c r="M427" i="8" s="1"/>
  <c r="D497" i="6"/>
  <c r="V427" i="6"/>
  <c r="V427" i="8" s="1"/>
  <c r="AC35" i="2"/>
  <c r="X43" i="2"/>
  <c r="X42" i="2"/>
  <c r="F23" i="1"/>
  <c r="F20" i="1"/>
  <c r="X44" i="2"/>
  <c r="X96" i="2"/>
  <c r="V566" i="6"/>
  <c r="V566" i="8" s="1"/>
  <c r="M566" i="6"/>
  <c r="M566" i="8" s="1"/>
  <c r="D636" i="6"/>
  <c r="D636" i="8" s="1"/>
  <c r="O90" i="6"/>
  <c r="O90" i="8" s="1"/>
  <c r="M63" i="5"/>
  <c r="Q90" i="6"/>
  <c r="Q90" i="8" s="1"/>
  <c r="N63" i="5"/>
  <c r="O10" i="2"/>
  <c r="AC36" i="2" s="1"/>
  <c r="X45" i="2"/>
  <c r="AM26" i="2"/>
  <c r="AM25" i="2"/>
  <c r="AM41" i="2"/>
  <c r="AM40" i="2"/>
  <c r="W25" i="2"/>
  <c r="V25" i="2"/>
  <c r="U25" i="2"/>
  <c r="T25" i="2"/>
  <c r="AA25" i="2"/>
  <c r="AB25" i="2"/>
  <c r="Z25" i="2"/>
  <c r="Y25" i="2"/>
  <c r="W28" i="2"/>
  <c r="V28" i="2"/>
  <c r="U28" i="2"/>
  <c r="T28" i="2"/>
  <c r="AB28" i="2"/>
  <c r="AA28" i="2"/>
  <c r="Y28" i="2"/>
  <c r="Z28" i="2"/>
  <c r="AK25" i="2"/>
  <c r="AL25" i="2"/>
  <c r="AJ25" i="2"/>
  <c r="AI25" i="2"/>
  <c r="AG25" i="2"/>
  <c r="AF25" i="2"/>
  <c r="AE25" i="2"/>
  <c r="AD25" i="2"/>
  <c r="O6" i="2"/>
  <c r="R6" i="2" s="1"/>
  <c r="X7" i="2"/>
  <c r="AH29" i="2"/>
  <c r="U14" i="2"/>
  <c r="AM29" i="2" s="1"/>
  <c r="AH35" i="2"/>
  <c r="U8" i="2"/>
  <c r="AM35" i="2" s="1"/>
  <c r="U76" i="2"/>
  <c r="P76" i="2"/>
  <c r="F76" i="2"/>
  <c r="Q31" i="5" l="1"/>
  <c r="P31" i="5"/>
  <c r="D497" i="8"/>
  <c r="M497" i="6"/>
  <c r="M497" i="8" s="1"/>
  <c r="D567" i="6"/>
  <c r="V497" i="6"/>
  <c r="V497" i="8" s="1"/>
  <c r="AC96" i="2"/>
  <c r="AC43" i="2"/>
  <c r="AC42" i="2"/>
  <c r="D706" i="6"/>
  <c r="D706" i="8" s="1"/>
  <c r="V636" i="6"/>
  <c r="V636" i="8" s="1"/>
  <c r="M636" i="6"/>
  <c r="M636" i="8" s="1"/>
  <c r="AC63" i="5"/>
  <c r="O370" i="6"/>
  <c r="O370" i="8" s="1"/>
  <c r="AD63" i="5"/>
  <c r="Q370" i="6"/>
  <c r="Q370" i="8" s="1"/>
  <c r="Z63" i="5"/>
  <c r="Q300" i="6"/>
  <c r="Q300" i="8" s="1"/>
  <c r="Y63" i="5"/>
  <c r="O300" i="6"/>
  <c r="O300" i="8" s="1"/>
  <c r="Q233" i="6"/>
  <c r="Q233" i="8" s="1"/>
  <c r="V66" i="5"/>
  <c r="O233" i="6"/>
  <c r="O233" i="8" s="1"/>
  <c r="U66" i="5"/>
  <c r="V63" i="5"/>
  <c r="Q230" i="6"/>
  <c r="Q230" i="8" s="1"/>
  <c r="U63" i="5"/>
  <c r="O230" i="6"/>
  <c r="O230" i="8" s="1"/>
  <c r="O163" i="6"/>
  <c r="O163" i="8" s="1"/>
  <c r="Q66" i="5"/>
  <c r="O160" i="6"/>
  <c r="O160" i="8" s="1"/>
  <c r="Q63" i="5"/>
  <c r="R63" i="5"/>
  <c r="Q160" i="6"/>
  <c r="Q160" i="8" s="1"/>
  <c r="Q163" i="6"/>
  <c r="Q163" i="8" s="1"/>
  <c r="R66" i="5"/>
  <c r="AC28" i="2"/>
  <c r="AG28" i="2" s="1"/>
  <c r="R10" i="2"/>
  <c r="AC44" i="2"/>
  <c r="AC45" i="2"/>
  <c r="AO25" i="2"/>
  <c r="AQ25" i="2"/>
  <c r="AP25" i="2"/>
  <c r="AN25" i="2"/>
  <c r="AA7" i="2"/>
  <c r="AR25" i="2"/>
  <c r="AR41" i="2"/>
  <c r="AR40" i="2"/>
  <c r="AR26" i="2"/>
  <c r="X8" i="2"/>
  <c r="X14" i="2"/>
  <c r="AH28" i="2"/>
  <c r="U6" i="2"/>
  <c r="AM28" i="2" s="1"/>
  <c r="J25" i="4"/>
  <c r="J24" i="4"/>
  <c r="AH36" i="2" l="1"/>
  <c r="AI36" i="2" s="1"/>
  <c r="R31" i="5"/>
  <c r="S31" i="5"/>
  <c r="BL19" i="2"/>
  <c r="BL55" i="2" s="1"/>
  <c r="D567" i="8"/>
  <c r="M567" i="6"/>
  <c r="M567" i="8" s="1"/>
  <c r="D637" i="6"/>
  <c r="V567" i="6"/>
  <c r="V567" i="8" s="1"/>
  <c r="AH96" i="2"/>
  <c r="AH42" i="2"/>
  <c r="AH43" i="2"/>
  <c r="AF28" i="2"/>
  <c r="O303" i="6" s="1"/>
  <c r="O303" i="8" s="1"/>
  <c r="AA30" i="5"/>
  <c r="W30" i="5"/>
  <c r="Z30" i="5"/>
  <c r="V30" i="5"/>
  <c r="AC30" i="5"/>
  <c r="Y30" i="5"/>
  <c r="AB30" i="5"/>
  <c r="X30" i="5"/>
  <c r="V706" i="6"/>
  <c r="V706" i="8" s="1"/>
  <c r="M706" i="6"/>
  <c r="M706" i="8" s="1"/>
  <c r="Z66" i="5"/>
  <c r="Q303" i="6"/>
  <c r="Q303" i="8" s="1"/>
  <c r="AG63" i="5"/>
  <c r="O440" i="6"/>
  <c r="O440" i="8" s="1"/>
  <c r="AH63" i="5"/>
  <c r="Q440" i="6"/>
  <c r="Q440" i="8" s="1"/>
  <c r="AD28" i="2"/>
  <c r="AE28" i="2"/>
  <c r="AH44" i="2"/>
  <c r="AH45" i="2"/>
  <c r="U10" i="2"/>
  <c r="E40" i="4"/>
  <c r="F40" i="4" s="1"/>
  <c r="G40" i="4" s="1"/>
  <c r="H40" i="4" s="1"/>
  <c r="I40" i="4" s="1"/>
  <c r="J40" i="4" s="1"/>
  <c r="K40" i="4" s="1"/>
  <c r="L40" i="4" s="1"/>
  <c r="M40" i="4" s="1"/>
  <c r="N40" i="4" s="1"/>
  <c r="O40" i="4" s="1"/>
  <c r="AA14" i="2"/>
  <c r="AR29" i="2"/>
  <c r="AA8" i="2"/>
  <c r="AR35" i="2"/>
  <c r="AS25" i="2"/>
  <c r="AU25" i="2"/>
  <c r="AV25" i="2"/>
  <c r="AT25" i="2"/>
  <c r="AQ28" i="2"/>
  <c r="AP28" i="2"/>
  <c r="AO28" i="2"/>
  <c r="AN28" i="2"/>
  <c r="AL28" i="2"/>
  <c r="AK28" i="2"/>
  <c r="AJ28" i="2"/>
  <c r="AI28" i="2"/>
  <c r="AD7" i="2"/>
  <c r="AW40" i="2"/>
  <c r="AW25" i="2"/>
  <c r="AW41" i="2"/>
  <c r="AW26" i="2"/>
  <c r="X6" i="2"/>
  <c r="U30" i="5"/>
  <c r="R30" i="5"/>
  <c r="P30" i="5"/>
  <c r="N30" i="5"/>
  <c r="L30" i="5"/>
  <c r="J30" i="5"/>
  <c r="I30" i="5"/>
  <c r="T30" i="5"/>
  <c r="S30" i="5"/>
  <c r="Q30" i="5"/>
  <c r="O30" i="5"/>
  <c r="M30" i="5"/>
  <c r="K30" i="5"/>
  <c r="H30" i="5"/>
  <c r="D4" i="6"/>
  <c r="D4" i="8" s="1"/>
  <c r="AJ36" i="2" l="1"/>
  <c r="AM36" i="2"/>
  <c r="AN36" i="2" s="1"/>
  <c r="U31" i="5"/>
  <c r="T31" i="5"/>
  <c r="BM55" i="2"/>
  <c r="D637" i="8"/>
  <c r="M637" i="6"/>
  <c r="M637" i="8" s="1"/>
  <c r="V637" i="6"/>
  <c r="V637" i="8" s="1"/>
  <c r="D707" i="6"/>
  <c r="AM96" i="2"/>
  <c r="AM42" i="2"/>
  <c r="AM43" i="2"/>
  <c r="Y66" i="5"/>
  <c r="AD66" i="5"/>
  <c r="Q373" i="6"/>
  <c r="Q373" i="8" s="1"/>
  <c r="O373" i="6"/>
  <c r="O373" i="8" s="1"/>
  <c r="AC66" i="5"/>
  <c r="Q510" i="6"/>
  <c r="Q510" i="8" s="1"/>
  <c r="AL63" i="5"/>
  <c r="O510" i="6"/>
  <c r="O510" i="8" s="1"/>
  <c r="AK63" i="5"/>
  <c r="O443" i="6"/>
  <c r="O443" i="8" s="1"/>
  <c r="AG66" i="5"/>
  <c r="AH66" i="5"/>
  <c r="Q443" i="6"/>
  <c r="Q443" i="8" s="1"/>
  <c r="M4" i="6"/>
  <c r="D74" i="6"/>
  <c r="AM44" i="2"/>
  <c r="X10" i="2"/>
  <c r="AM45" i="2"/>
  <c r="BA25" i="2"/>
  <c r="AZ25" i="2"/>
  <c r="AX25" i="2"/>
  <c r="AY25" i="2"/>
  <c r="AA6" i="2"/>
  <c r="AR28" i="2"/>
  <c r="AD8" i="2"/>
  <c r="AW35" i="2"/>
  <c r="AG7" i="2"/>
  <c r="BB25" i="2"/>
  <c r="BB41" i="2"/>
  <c r="BB40" i="2"/>
  <c r="BB26" i="2"/>
  <c r="AD14" i="2"/>
  <c r="AW29" i="2"/>
  <c r="B43" i="5"/>
  <c r="B42" i="5"/>
  <c r="B41" i="5"/>
  <c r="B40" i="5"/>
  <c r="B39" i="5"/>
  <c r="B38" i="5"/>
  <c r="D74" i="8" l="1"/>
  <c r="AO36" i="2"/>
  <c r="AR36" i="2"/>
  <c r="AT36" i="2" s="1"/>
  <c r="V31" i="5"/>
  <c r="W31" i="5"/>
  <c r="D707" i="8"/>
  <c r="M707" i="6"/>
  <c r="M707" i="8" s="1"/>
  <c r="V707" i="6"/>
  <c r="V707" i="8" s="1"/>
  <c r="W4" i="6"/>
  <c r="W14" i="6" s="1"/>
  <c r="W14" i="8" s="1"/>
  <c r="M4" i="8"/>
  <c r="AR96" i="2"/>
  <c r="AR42" i="2"/>
  <c r="AR43" i="2"/>
  <c r="AO63" i="5"/>
  <c r="O580" i="6"/>
  <c r="O580" i="8" s="1"/>
  <c r="Q580" i="6"/>
  <c r="Q580" i="8" s="1"/>
  <c r="AP63" i="5"/>
  <c r="Q14" i="6"/>
  <c r="Q14" i="8" s="1"/>
  <c r="N14" i="6"/>
  <c r="N14" i="8" s="1"/>
  <c r="D144" i="6"/>
  <c r="D144" i="8" s="1"/>
  <c r="H84" i="6"/>
  <c r="H84" i="8" s="1"/>
  <c r="W74" i="6"/>
  <c r="W74" i="8" s="1"/>
  <c r="M74" i="6"/>
  <c r="M74" i="8" s="1"/>
  <c r="F84" i="6"/>
  <c r="F84" i="8" s="1"/>
  <c r="E84" i="6"/>
  <c r="E84" i="8" s="1"/>
  <c r="G84" i="6"/>
  <c r="G84" i="8" s="1"/>
  <c r="P14" i="6"/>
  <c r="P14" i="8" s="1"/>
  <c r="O14" i="6"/>
  <c r="O14" i="8" s="1"/>
  <c r="AA10" i="2"/>
  <c r="AR44" i="2"/>
  <c r="AR45" i="2"/>
  <c r="AG14" i="2"/>
  <c r="BB29" i="2"/>
  <c r="BG26" i="2"/>
  <c r="BG40" i="2"/>
  <c r="BG41" i="2"/>
  <c r="BG25" i="2"/>
  <c r="AV28" i="2"/>
  <c r="AU28" i="2"/>
  <c r="AT28" i="2"/>
  <c r="AS28" i="2"/>
  <c r="BD25" i="2"/>
  <c r="BF25" i="2"/>
  <c r="BE25" i="2"/>
  <c r="BC25" i="2"/>
  <c r="AG8" i="2"/>
  <c r="BB35" i="2"/>
  <c r="AD6" i="2"/>
  <c r="AW28" i="2"/>
  <c r="N32" i="2"/>
  <c r="N31" i="2"/>
  <c r="AS36" i="2" l="1"/>
  <c r="AW36" i="2"/>
  <c r="AY36" i="2" s="1"/>
  <c r="Y31" i="5"/>
  <c r="X31" i="5"/>
  <c r="AB14" i="6"/>
  <c r="AB14" i="8" s="1"/>
  <c r="X14" i="6"/>
  <c r="X14" i="8" s="1"/>
  <c r="AB68" i="6"/>
  <c r="AB68" i="8" s="1"/>
  <c r="Z14" i="6"/>
  <c r="Z14" i="8" s="1"/>
  <c r="AA68" i="6"/>
  <c r="AA68" i="8" s="1"/>
  <c r="W4" i="8"/>
  <c r="AA14" i="6"/>
  <c r="AA14" i="8" s="1"/>
  <c r="Y68" i="6"/>
  <c r="Y68" i="8" s="1"/>
  <c r="Z68" i="6"/>
  <c r="Z68" i="8" s="1"/>
  <c r="Y14" i="6"/>
  <c r="AW96" i="2"/>
  <c r="AW43" i="2"/>
  <c r="AW42" i="2"/>
  <c r="AT63" i="5"/>
  <c r="Q650" i="6"/>
  <c r="Q650" i="8" s="1"/>
  <c r="AS63" i="5"/>
  <c r="O650" i="6"/>
  <c r="O650" i="8" s="1"/>
  <c r="O513" i="6"/>
  <c r="O513" i="8" s="1"/>
  <c r="AK66" i="5"/>
  <c r="AL66" i="5"/>
  <c r="Q513" i="6"/>
  <c r="Q513" i="8" s="1"/>
  <c r="D214" i="6"/>
  <c r="D214" i="8" s="1"/>
  <c r="AA138" i="6"/>
  <c r="AA138" i="8" s="1"/>
  <c r="Z138" i="6"/>
  <c r="Z138" i="8" s="1"/>
  <c r="Y138" i="6"/>
  <c r="Y138" i="8" s="1"/>
  <c r="AB138" i="6"/>
  <c r="AB138" i="8" s="1"/>
  <c r="AB84" i="6"/>
  <c r="AB84" i="8" s="1"/>
  <c r="W84" i="6"/>
  <c r="W84" i="8" s="1"/>
  <c r="X84" i="6"/>
  <c r="X84" i="8" s="1"/>
  <c r="AA84" i="6"/>
  <c r="AA84" i="8" s="1"/>
  <c r="Y84" i="6"/>
  <c r="AG104" i="6" s="1"/>
  <c r="AH104" i="6" s="1"/>
  <c r="Z84" i="6"/>
  <c r="Z84" i="8" s="1"/>
  <c r="Q84" i="6"/>
  <c r="Q84" i="8" s="1"/>
  <c r="O84" i="6"/>
  <c r="O84" i="8" s="1"/>
  <c r="P84" i="6"/>
  <c r="P84" i="8" s="1"/>
  <c r="N84" i="6"/>
  <c r="N84" i="8" s="1"/>
  <c r="W144" i="6"/>
  <c r="W144" i="8" s="1"/>
  <c r="M144" i="6"/>
  <c r="M144" i="8" s="1"/>
  <c r="E154" i="6"/>
  <c r="E154" i="8" s="1"/>
  <c r="F154" i="6"/>
  <c r="F154" i="8" s="1"/>
  <c r="G154" i="6"/>
  <c r="G154" i="8" s="1"/>
  <c r="H154" i="6"/>
  <c r="H154" i="8" s="1"/>
  <c r="AW44" i="2"/>
  <c r="AW45" i="2"/>
  <c r="AD10" i="2"/>
  <c r="BB36" i="2" s="1"/>
  <c r="BG35" i="2"/>
  <c r="AZ28" i="2"/>
  <c r="BA28" i="2"/>
  <c r="AY28" i="2"/>
  <c r="AX28" i="2"/>
  <c r="AG6" i="2"/>
  <c r="BB28" i="2"/>
  <c r="BG29" i="2"/>
  <c r="BK25" i="2"/>
  <c r="BJ25" i="2"/>
  <c r="BH25" i="2"/>
  <c r="BI25" i="2"/>
  <c r="S32" i="2"/>
  <c r="S31" i="2"/>
  <c r="P89" i="2"/>
  <c r="O89" i="2"/>
  <c r="F73" i="2"/>
  <c r="F72" i="2"/>
  <c r="F70" i="2"/>
  <c r="E73" i="2"/>
  <c r="E72" i="2"/>
  <c r="E70" i="2"/>
  <c r="AX36" i="2" l="1"/>
  <c r="Z31" i="5"/>
  <c r="AA31" i="5"/>
  <c r="Y84" i="8"/>
  <c r="AG34" i="6"/>
  <c r="AH34" i="6" s="1"/>
  <c r="Y14" i="8"/>
  <c r="BB96" i="2"/>
  <c r="BB43" i="2"/>
  <c r="BB42" i="2"/>
  <c r="O720" i="6"/>
  <c r="O720" i="8" s="1"/>
  <c r="AW63" i="5"/>
  <c r="Q720" i="6"/>
  <c r="Q720" i="8" s="1"/>
  <c r="AX63" i="5"/>
  <c r="AP66" i="5"/>
  <c r="Q583" i="6"/>
  <c r="Q583" i="8" s="1"/>
  <c r="AO66" i="5"/>
  <c r="O583" i="6"/>
  <c r="O583" i="8" s="1"/>
  <c r="E224" i="6"/>
  <c r="E224" i="8" s="1"/>
  <c r="D284" i="6"/>
  <c r="D284" i="8" s="1"/>
  <c r="M214" i="6"/>
  <c r="M214" i="8" s="1"/>
  <c r="W214" i="6"/>
  <c r="W214" i="8" s="1"/>
  <c r="G224" i="6"/>
  <c r="G224" i="8" s="1"/>
  <c r="F224" i="6"/>
  <c r="F224" i="8" s="1"/>
  <c r="H224" i="6"/>
  <c r="H224" i="8" s="1"/>
  <c r="P154" i="6"/>
  <c r="P154" i="8" s="1"/>
  <c r="Q154" i="6"/>
  <c r="Q154" i="8" s="1"/>
  <c r="O154" i="6"/>
  <c r="O154" i="8" s="1"/>
  <c r="N154" i="6"/>
  <c r="N154" i="8" s="1"/>
  <c r="AA154" i="6"/>
  <c r="AA154" i="8" s="1"/>
  <c r="Y154" i="6"/>
  <c r="AG174" i="6" s="1"/>
  <c r="AH174" i="6" s="1"/>
  <c r="Z154" i="6"/>
  <c r="Z154" i="8" s="1"/>
  <c r="W154" i="6"/>
  <c r="W154" i="8" s="1"/>
  <c r="AB208" i="6"/>
  <c r="AB208" i="8" s="1"/>
  <c r="Z208" i="6"/>
  <c r="Z208" i="8" s="1"/>
  <c r="X154" i="6"/>
  <c r="X154" i="8" s="1"/>
  <c r="AA208" i="6"/>
  <c r="AA208" i="8" s="1"/>
  <c r="Y208" i="6"/>
  <c r="Y208" i="8" s="1"/>
  <c r="AB154" i="6"/>
  <c r="AB154" i="8" s="1"/>
  <c r="BD36" i="2"/>
  <c r="BC36" i="2"/>
  <c r="AG10" i="2"/>
  <c r="BB45" i="2"/>
  <c r="BB44" i="2"/>
  <c r="G72" i="2"/>
  <c r="I72" i="2"/>
  <c r="I73" i="2"/>
  <c r="G73" i="2"/>
  <c r="J73" i="2"/>
  <c r="H73" i="2"/>
  <c r="H72" i="2"/>
  <c r="J72" i="2"/>
  <c r="BF28" i="2"/>
  <c r="BE28" i="2"/>
  <c r="BC28" i="2"/>
  <c r="BD28" i="2"/>
  <c r="BG28" i="2"/>
  <c r="X31" i="2"/>
  <c r="X32" i="2"/>
  <c r="BG36" i="2" l="1"/>
  <c r="BI36" i="2" s="1"/>
  <c r="AC31" i="5"/>
  <c r="AB31" i="5"/>
  <c r="Y154" i="8"/>
  <c r="BG96" i="2"/>
  <c r="BG42" i="2"/>
  <c r="BG43" i="2"/>
  <c r="O653" i="6"/>
  <c r="O653" i="8" s="1"/>
  <c r="AS66" i="5"/>
  <c r="Q653" i="6"/>
  <c r="Q653" i="8" s="1"/>
  <c r="AT66" i="5"/>
  <c r="Y224" i="6"/>
  <c r="AG244" i="6" s="1"/>
  <c r="AH244" i="6" s="1"/>
  <c r="W224" i="6"/>
  <c r="W224" i="8" s="1"/>
  <c r="X224" i="6"/>
  <c r="X224" i="8" s="1"/>
  <c r="Z278" i="6"/>
  <c r="Z278" i="8" s="1"/>
  <c r="AB278" i="6"/>
  <c r="AB278" i="8" s="1"/>
  <c r="AB224" i="6"/>
  <c r="AB224" i="8" s="1"/>
  <c r="Z224" i="6"/>
  <c r="Z224" i="8" s="1"/>
  <c r="AA278" i="6"/>
  <c r="AA278" i="8" s="1"/>
  <c r="AA224" i="6"/>
  <c r="AA224" i="8" s="1"/>
  <c r="Y278" i="6"/>
  <c r="Y278" i="8" s="1"/>
  <c r="N224" i="6"/>
  <c r="N224" i="8" s="1"/>
  <c r="Q224" i="6"/>
  <c r="Q224" i="8" s="1"/>
  <c r="P224" i="6"/>
  <c r="P224" i="8" s="1"/>
  <c r="O224" i="6"/>
  <c r="O224" i="8" s="1"/>
  <c r="D354" i="6"/>
  <c r="D354" i="8" s="1"/>
  <c r="H294" i="6"/>
  <c r="H294" i="8" s="1"/>
  <c r="E294" i="6"/>
  <c r="E294" i="8" s="1"/>
  <c r="M284" i="6"/>
  <c r="M284" i="8" s="1"/>
  <c r="W284" i="6"/>
  <c r="W284" i="8" s="1"/>
  <c r="F294" i="6"/>
  <c r="F294" i="8" s="1"/>
  <c r="G294" i="6"/>
  <c r="G294" i="8" s="1"/>
  <c r="BG45" i="2"/>
  <c r="BG44" i="2"/>
  <c r="BK28" i="2"/>
  <c r="BJ28" i="2"/>
  <c r="BI28" i="2"/>
  <c r="BH28" i="2"/>
  <c r="AH32" i="2"/>
  <c r="AH31" i="2"/>
  <c r="AC32" i="2"/>
  <c r="AC31" i="2"/>
  <c r="H14" i="6"/>
  <c r="H14" i="8" s="1"/>
  <c r="G14" i="6"/>
  <c r="G14" i="8" s="1"/>
  <c r="F14" i="6"/>
  <c r="F14" i="8" s="1"/>
  <c r="E14" i="6"/>
  <c r="E14" i="8" s="1"/>
  <c r="BH36" i="2" l="1"/>
  <c r="Y224" i="8"/>
  <c r="O723" i="6"/>
  <c r="O723" i="8" s="1"/>
  <c r="AW66" i="5"/>
  <c r="AX66" i="5"/>
  <c r="Q723" i="6"/>
  <c r="Q723" i="8" s="1"/>
  <c r="Z348" i="6"/>
  <c r="Z348" i="8" s="1"/>
  <c r="AB348" i="6"/>
  <c r="AB348" i="8" s="1"/>
  <c r="W294" i="6"/>
  <c r="W294" i="8" s="1"/>
  <c r="Z294" i="6"/>
  <c r="Z294" i="8" s="1"/>
  <c r="AA348" i="6"/>
  <c r="AA348" i="8" s="1"/>
  <c r="AB294" i="6"/>
  <c r="AB294" i="8" s="1"/>
  <c r="Y348" i="6"/>
  <c r="Y348" i="8" s="1"/>
  <c r="X294" i="6"/>
  <c r="X294" i="8" s="1"/>
  <c r="Y294" i="6"/>
  <c r="AG314" i="6" s="1"/>
  <c r="AH314" i="6" s="1"/>
  <c r="AA294" i="6"/>
  <c r="AA294" i="8" s="1"/>
  <c r="N294" i="6"/>
  <c r="N294" i="8" s="1"/>
  <c r="P294" i="6"/>
  <c r="P294" i="8" s="1"/>
  <c r="O294" i="6"/>
  <c r="O294" i="8" s="1"/>
  <c r="Q294" i="6"/>
  <c r="Q294" i="8" s="1"/>
  <c r="F364" i="6"/>
  <c r="F364" i="8" s="1"/>
  <c r="E364" i="6"/>
  <c r="E364" i="8" s="1"/>
  <c r="D424" i="6"/>
  <c r="D424" i="8" s="1"/>
  <c r="H364" i="6"/>
  <c r="H364" i="8" s="1"/>
  <c r="W354" i="6"/>
  <c r="W354" i="8" s="1"/>
  <c r="M354" i="6"/>
  <c r="M354" i="8" s="1"/>
  <c r="G364" i="6"/>
  <c r="G364" i="8" s="1"/>
  <c r="AM31" i="2"/>
  <c r="AM32" i="2"/>
  <c r="Y294" i="8" l="1"/>
  <c r="Q364" i="6"/>
  <c r="Q364" i="8" s="1"/>
  <c r="P364" i="6"/>
  <c r="P364" i="8" s="1"/>
  <c r="O364" i="6"/>
  <c r="O364" i="8" s="1"/>
  <c r="N364" i="6"/>
  <c r="N364" i="8" s="1"/>
  <c r="Y364" i="6"/>
  <c r="AG384" i="6" s="1"/>
  <c r="AH384" i="6" s="1"/>
  <c r="AB364" i="6"/>
  <c r="AB364" i="8" s="1"/>
  <c r="AB418" i="6"/>
  <c r="AB418" i="8" s="1"/>
  <c r="AA364" i="6"/>
  <c r="AA364" i="8" s="1"/>
  <c r="Z418" i="6"/>
  <c r="Z418" i="8" s="1"/>
  <c r="Y418" i="6"/>
  <c r="Y418" i="8" s="1"/>
  <c r="X364" i="6"/>
  <c r="X364" i="8" s="1"/>
  <c r="Z364" i="6"/>
  <c r="Z364" i="8" s="1"/>
  <c r="AA418" i="6"/>
  <c r="AA418" i="8" s="1"/>
  <c r="W364" i="6"/>
  <c r="W364" i="8" s="1"/>
  <c r="F434" i="6"/>
  <c r="F434" i="8" s="1"/>
  <c r="E434" i="6"/>
  <c r="E434" i="8" s="1"/>
  <c r="W424" i="6"/>
  <c r="W424" i="8" s="1"/>
  <c r="D494" i="6"/>
  <c r="D494" i="8" s="1"/>
  <c r="H434" i="6"/>
  <c r="H434" i="8" s="1"/>
  <c r="G434" i="6"/>
  <c r="G434" i="8" s="1"/>
  <c r="M424" i="6"/>
  <c r="M424" i="8" s="1"/>
  <c r="AR31" i="2"/>
  <c r="AR32" i="2"/>
  <c r="K18" i="4"/>
  <c r="D5" i="1" s="1"/>
  <c r="Y364" i="8" l="1"/>
  <c r="AA488" i="6"/>
  <c r="AA488" i="8" s="1"/>
  <c r="AB488" i="6"/>
  <c r="AB488" i="8" s="1"/>
  <c r="W434" i="6"/>
  <c r="W434" i="8" s="1"/>
  <c r="Z488" i="6"/>
  <c r="Z488" i="8" s="1"/>
  <c r="Y434" i="6"/>
  <c r="AG454" i="6" s="1"/>
  <c r="AH454" i="6" s="1"/>
  <c r="AA434" i="6"/>
  <c r="AA434" i="8" s="1"/>
  <c r="Y488" i="6"/>
  <c r="Y488" i="8" s="1"/>
  <c r="X434" i="6"/>
  <c r="X434" i="8" s="1"/>
  <c r="AB434" i="6"/>
  <c r="AB434" i="8" s="1"/>
  <c r="Z434" i="6"/>
  <c r="Z434" i="8" s="1"/>
  <c r="N434" i="6"/>
  <c r="N434" i="8" s="1"/>
  <c r="O434" i="6"/>
  <c r="O434" i="8" s="1"/>
  <c r="Q434" i="6"/>
  <c r="Q434" i="8" s="1"/>
  <c r="P434" i="6"/>
  <c r="P434" i="8" s="1"/>
  <c r="D564" i="6"/>
  <c r="D564" i="8" s="1"/>
  <c r="M494" i="6"/>
  <c r="M494" i="8" s="1"/>
  <c r="H504" i="6"/>
  <c r="H504" i="8" s="1"/>
  <c r="G504" i="6"/>
  <c r="G504" i="8" s="1"/>
  <c r="W494" i="6"/>
  <c r="W494" i="8" s="1"/>
  <c r="E504" i="6"/>
  <c r="E504" i="8" s="1"/>
  <c r="F504" i="6"/>
  <c r="F504" i="8" s="1"/>
  <c r="M61" i="4"/>
  <c r="D5" i="6"/>
  <c r="AW32" i="2"/>
  <c r="AW31" i="2"/>
  <c r="K21" i="4"/>
  <c r="BK56" i="2" l="1"/>
  <c r="BA56" i="2"/>
  <c r="AQ56" i="2"/>
  <c r="AG56" i="2"/>
  <c r="R56" i="2"/>
  <c r="J56" i="2"/>
  <c r="BJ56" i="2"/>
  <c r="BE56" i="2"/>
  <c r="AZ56" i="2"/>
  <c r="AU56" i="2"/>
  <c r="AP56" i="2"/>
  <c r="AK56" i="2"/>
  <c r="AF56" i="2"/>
  <c r="AA56" i="2"/>
  <c r="V56" i="2"/>
  <c r="Q56" i="2"/>
  <c r="I56" i="2"/>
  <c r="BF56" i="2"/>
  <c r="AV56" i="2"/>
  <c r="AL56" i="2"/>
  <c r="AB56" i="2"/>
  <c r="W56" i="2"/>
  <c r="D75" i="6"/>
  <c r="D75" i="8" s="1"/>
  <c r="D5" i="8"/>
  <c r="Y434" i="8"/>
  <c r="I59" i="4"/>
  <c r="J65" i="4"/>
  <c r="I65" i="4"/>
  <c r="J64" i="4"/>
  <c r="I64" i="4"/>
  <c r="W504" i="6"/>
  <c r="W504" i="8" s="1"/>
  <c r="AA558" i="6"/>
  <c r="AA558" i="8" s="1"/>
  <c r="AB558" i="6"/>
  <c r="AB558" i="8" s="1"/>
  <c r="Y558" i="6"/>
  <c r="Y558" i="8" s="1"/>
  <c r="Y504" i="6"/>
  <c r="AG524" i="6" s="1"/>
  <c r="AH524" i="6" s="1"/>
  <c r="Z558" i="6"/>
  <c r="Z558" i="8" s="1"/>
  <c r="Z504" i="6"/>
  <c r="Z504" i="8" s="1"/>
  <c r="X504" i="6"/>
  <c r="X504" i="8" s="1"/>
  <c r="AA504" i="6"/>
  <c r="AA504" i="8" s="1"/>
  <c r="AB504" i="6"/>
  <c r="AB504" i="8" s="1"/>
  <c r="F574" i="6"/>
  <c r="F574" i="8" s="1"/>
  <c r="D634" i="6"/>
  <c r="D634" i="8" s="1"/>
  <c r="W564" i="6"/>
  <c r="W564" i="8" s="1"/>
  <c r="E574" i="6"/>
  <c r="E574" i="8" s="1"/>
  <c r="G574" i="6"/>
  <c r="G574" i="8" s="1"/>
  <c r="M564" i="6"/>
  <c r="M564" i="8" s="1"/>
  <c r="H574" i="6"/>
  <c r="H574" i="8" s="1"/>
  <c r="N504" i="6"/>
  <c r="N504" i="8" s="1"/>
  <c r="Q504" i="6"/>
  <c r="Q504" i="8" s="1"/>
  <c r="P504" i="6"/>
  <c r="P504" i="8" s="1"/>
  <c r="O504" i="6"/>
  <c r="O504" i="8" s="1"/>
  <c r="BB31" i="2"/>
  <c r="BB32" i="2"/>
  <c r="V5" i="6"/>
  <c r="V5" i="8" s="1"/>
  <c r="M5" i="6"/>
  <c r="M5" i="8" s="1"/>
  <c r="J59" i="4"/>
  <c r="M75" i="6" l="1"/>
  <c r="M75" i="8" s="1"/>
  <c r="D145" i="6"/>
  <c r="D145" i="8" s="1"/>
  <c r="Y504" i="8"/>
  <c r="V75" i="6"/>
  <c r="V75" i="8" s="1"/>
  <c r="K59" i="4"/>
  <c r="K65" i="4"/>
  <c r="K64" i="4"/>
  <c r="F644" i="6"/>
  <c r="F644" i="8" s="1"/>
  <c r="D704" i="6"/>
  <c r="D704" i="8" s="1"/>
  <c r="G644" i="6"/>
  <c r="G644" i="8" s="1"/>
  <c r="E644" i="6"/>
  <c r="E644" i="8" s="1"/>
  <c r="M634" i="6"/>
  <c r="M634" i="8" s="1"/>
  <c r="H644" i="6"/>
  <c r="H644" i="8" s="1"/>
  <c r="W634" i="6"/>
  <c r="W634" i="8" s="1"/>
  <c r="Z628" i="6"/>
  <c r="Z628" i="8" s="1"/>
  <c r="Z574" i="6"/>
  <c r="Z574" i="8" s="1"/>
  <c r="Y574" i="6"/>
  <c r="AG594" i="6" s="1"/>
  <c r="AH594" i="6" s="1"/>
  <c r="AA574" i="6"/>
  <c r="AA574" i="8" s="1"/>
  <c r="AB628" i="6"/>
  <c r="AB628" i="8" s="1"/>
  <c r="X574" i="6"/>
  <c r="X574" i="8" s="1"/>
  <c r="W574" i="6"/>
  <c r="W574" i="8" s="1"/>
  <c r="AA628" i="6"/>
  <c r="AA628" i="8" s="1"/>
  <c r="Y628" i="6"/>
  <c r="Y628" i="8" s="1"/>
  <c r="AB574" i="6"/>
  <c r="AB574" i="8" s="1"/>
  <c r="N574" i="6"/>
  <c r="N574" i="8" s="1"/>
  <c r="Q574" i="6"/>
  <c r="Q574" i="8" s="1"/>
  <c r="O574" i="6"/>
  <c r="O574" i="8" s="1"/>
  <c r="P574" i="6"/>
  <c r="P574" i="8" s="1"/>
  <c r="BG32" i="2"/>
  <c r="BG31" i="2"/>
  <c r="U36" i="2"/>
  <c r="T36" i="2"/>
  <c r="P36" i="2"/>
  <c r="M145" i="6" l="1"/>
  <c r="M145" i="8" s="1"/>
  <c r="V145" i="6"/>
  <c r="V145" i="8" s="1"/>
  <c r="D215" i="6"/>
  <c r="D285" i="6" s="1"/>
  <c r="Y574" i="8"/>
  <c r="G714" i="6"/>
  <c r="G714" i="8" s="1"/>
  <c r="W704" i="6"/>
  <c r="W704" i="8" s="1"/>
  <c r="E714" i="6"/>
  <c r="E714" i="8" s="1"/>
  <c r="F714" i="6"/>
  <c r="F714" i="8" s="1"/>
  <c r="M704" i="6"/>
  <c r="M704" i="8" s="1"/>
  <c r="H714" i="6"/>
  <c r="H714" i="8" s="1"/>
  <c r="W644" i="6"/>
  <c r="W644" i="8" s="1"/>
  <c r="AA698" i="6"/>
  <c r="AA698" i="8" s="1"/>
  <c r="Y698" i="6"/>
  <c r="Y698" i="8" s="1"/>
  <c r="X644" i="6"/>
  <c r="X644" i="8" s="1"/>
  <c r="Z698" i="6"/>
  <c r="Z698" i="8" s="1"/>
  <c r="Z644" i="6"/>
  <c r="Z644" i="8" s="1"/>
  <c r="AB644" i="6"/>
  <c r="AB644" i="8" s="1"/>
  <c r="AA644" i="6"/>
  <c r="AA644" i="8" s="1"/>
  <c r="AB698" i="6"/>
  <c r="AB698" i="8" s="1"/>
  <c r="Y644" i="6"/>
  <c r="AG664" i="6" s="1"/>
  <c r="AH664" i="6" s="1"/>
  <c r="N644" i="6"/>
  <c r="N644" i="8" s="1"/>
  <c r="Q644" i="6"/>
  <c r="Q644" i="8" s="1"/>
  <c r="P644" i="6"/>
  <c r="P644" i="8" s="1"/>
  <c r="O644" i="6"/>
  <c r="O644" i="8" s="1"/>
  <c r="Y36" i="2"/>
  <c r="Z36" i="2"/>
  <c r="E20" i="5"/>
  <c r="E14" i="5"/>
  <c r="E16" i="5" s="1"/>
  <c r="V215" i="6" l="1"/>
  <c r="V215" i="8" s="1"/>
  <c r="D215" i="8"/>
  <c r="M215" i="6"/>
  <c r="M215" i="8" s="1"/>
  <c r="D285" i="8"/>
  <c r="D355" i="6"/>
  <c r="D355" i="8" s="1"/>
  <c r="V285" i="6"/>
  <c r="V285" i="8" s="1"/>
  <c r="M285" i="6"/>
  <c r="M285" i="8" s="1"/>
  <c r="Y644" i="8"/>
  <c r="H88" i="5"/>
  <c r="G88" i="5"/>
  <c r="N714" i="6"/>
  <c r="N714" i="8" s="1"/>
  <c r="Q714" i="6"/>
  <c r="Q714" i="8" s="1"/>
  <c r="O714" i="6"/>
  <c r="O714" i="8" s="1"/>
  <c r="P714" i="6"/>
  <c r="P714" i="8" s="1"/>
  <c r="Z768" i="6"/>
  <c r="Z768" i="8" s="1"/>
  <c r="Y768" i="6"/>
  <c r="Y768" i="8" s="1"/>
  <c r="AB714" i="6"/>
  <c r="AB714" i="8" s="1"/>
  <c r="AA714" i="6"/>
  <c r="AA714" i="8" s="1"/>
  <c r="Z714" i="6"/>
  <c r="Z714" i="8" s="1"/>
  <c r="X714" i="6"/>
  <c r="X714" i="8" s="1"/>
  <c r="W714" i="6"/>
  <c r="W714" i="8" s="1"/>
  <c r="AA768" i="6"/>
  <c r="AA768" i="8" s="1"/>
  <c r="AB768" i="6"/>
  <c r="AB768" i="8" s="1"/>
  <c r="Y714" i="6"/>
  <c r="AG734" i="6" s="1"/>
  <c r="AH734" i="6" s="1"/>
  <c r="H56" i="5"/>
  <c r="G61" i="5"/>
  <c r="K61" i="5" s="1"/>
  <c r="H51" i="5"/>
  <c r="E21" i="5"/>
  <c r="E22" i="5" s="1"/>
  <c r="E15" i="5"/>
  <c r="AD36" i="2"/>
  <c r="AE36" i="2"/>
  <c r="V355" i="6" l="1"/>
  <c r="V355" i="8" s="1"/>
  <c r="D425" i="6"/>
  <c r="D425" i="8" s="1"/>
  <c r="M355" i="6"/>
  <c r="M355" i="8" s="1"/>
  <c r="Y714" i="8"/>
  <c r="G4" i="6"/>
  <c r="H57" i="5"/>
  <c r="H58" i="5" s="1"/>
  <c r="H55" i="5"/>
  <c r="I61" i="5"/>
  <c r="H54" i="5"/>
  <c r="I51" i="5"/>
  <c r="E17" i="5"/>
  <c r="E23" i="5"/>
  <c r="E35" i="4"/>
  <c r="F35" i="4" s="1"/>
  <c r="G35" i="4" s="1"/>
  <c r="H35" i="4" s="1"/>
  <c r="I35" i="4" s="1"/>
  <c r="J35" i="4" s="1"/>
  <c r="K35" i="4" s="1"/>
  <c r="L35" i="4" s="1"/>
  <c r="M35" i="4" s="1"/>
  <c r="N35" i="4" s="1"/>
  <c r="O35" i="4" s="1"/>
  <c r="F87" i="2"/>
  <c r="E87" i="2"/>
  <c r="F54" i="2"/>
  <c r="F53" i="2"/>
  <c r="F52" i="2"/>
  <c r="F51" i="2"/>
  <c r="F50" i="2"/>
  <c r="F49" i="2"/>
  <c r="F89" i="2" s="1"/>
  <c r="F48" i="2"/>
  <c r="F47" i="2"/>
  <c r="F83" i="2" s="1"/>
  <c r="E54" i="2"/>
  <c r="E53" i="2"/>
  <c r="E52" i="2"/>
  <c r="E51" i="2"/>
  <c r="E50" i="2"/>
  <c r="E49" i="2"/>
  <c r="E48" i="2"/>
  <c r="E47" i="2"/>
  <c r="E89" i="2" s="1"/>
  <c r="F45" i="2"/>
  <c r="F44" i="2"/>
  <c r="F43" i="2"/>
  <c r="F42" i="2"/>
  <c r="F41" i="2"/>
  <c r="F40" i="2"/>
  <c r="F39" i="2"/>
  <c r="F37" i="2"/>
  <c r="F36" i="2"/>
  <c r="F35" i="2"/>
  <c r="F34" i="2"/>
  <c r="F32" i="2"/>
  <c r="F31" i="2"/>
  <c r="F29" i="2"/>
  <c r="F26" i="2"/>
  <c r="F24" i="2"/>
  <c r="F23" i="2"/>
  <c r="E45" i="2"/>
  <c r="E44" i="2"/>
  <c r="E43" i="2"/>
  <c r="E42" i="2"/>
  <c r="E41" i="2"/>
  <c r="E40" i="2"/>
  <c r="E39" i="2"/>
  <c r="E37" i="2"/>
  <c r="E35" i="2"/>
  <c r="AS35" i="2" s="1"/>
  <c r="E32" i="2"/>
  <c r="E29" i="2"/>
  <c r="E26" i="2"/>
  <c r="E25" i="2"/>
  <c r="F20" i="6" s="1"/>
  <c r="E33" i="1"/>
  <c r="H33" i="1"/>
  <c r="G33" i="1"/>
  <c r="F33" i="1"/>
  <c r="M425" i="6" l="1"/>
  <c r="M425" i="8" s="1"/>
  <c r="G86" i="5"/>
  <c r="P43" i="2"/>
  <c r="U43" i="2"/>
  <c r="Z43" i="2"/>
  <c r="AE43" i="2"/>
  <c r="AJ43" i="2"/>
  <c r="AO43" i="2"/>
  <c r="AT43" i="2"/>
  <c r="AY43" i="2"/>
  <c r="BD43" i="2"/>
  <c r="BI43" i="2"/>
  <c r="AT56" i="2"/>
  <c r="AT41" i="2" s="1"/>
  <c r="AE56" i="2"/>
  <c r="AE31" i="2" s="1"/>
  <c r="Z56" i="2"/>
  <c r="Z44" i="2" s="1"/>
  <c r="AY56" i="2"/>
  <c r="AY26" i="2" s="1"/>
  <c r="BD56" i="2"/>
  <c r="BD29" i="2" s="1"/>
  <c r="P56" i="2"/>
  <c r="P44" i="2" s="1"/>
  <c r="AO56" i="2"/>
  <c r="AO29" i="2" s="1"/>
  <c r="AJ56" i="2"/>
  <c r="AJ29" i="2" s="1"/>
  <c r="BI56" i="2"/>
  <c r="BI29" i="2" s="1"/>
  <c r="U56" i="2"/>
  <c r="U26" i="2" s="1"/>
  <c r="O42" i="2"/>
  <c r="T42" i="2"/>
  <c r="F177" i="6" s="1"/>
  <c r="F177" i="8" s="1"/>
  <c r="Y42" i="2"/>
  <c r="F247" i="6" s="1"/>
  <c r="F247" i="8" s="1"/>
  <c r="AD42" i="2"/>
  <c r="AI42" i="2"/>
  <c r="F387" i="6" s="1"/>
  <c r="F387" i="8" s="1"/>
  <c r="AN42" i="2"/>
  <c r="F457" i="6" s="1"/>
  <c r="F457" i="8" s="1"/>
  <c r="AS42" i="2"/>
  <c r="F527" i="6" s="1"/>
  <c r="F527" i="8" s="1"/>
  <c r="AX42" i="2"/>
  <c r="F597" i="6" s="1"/>
  <c r="F597" i="8" s="1"/>
  <c r="BC42" i="2"/>
  <c r="BH42" i="2"/>
  <c r="O43" i="2"/>
  <c r="T43" i="2"/>
  <c r="Y43" i="2"/>
  <c r="AD43" i="2"/>
  <c r="AI43" i="2"/>
  <c r="AN43" i="2"/>
  <c r="AS43" i="2"/>
  <c r="AX43" i="2"/>
  <c r="BC43" i="2"/>
  <c r="BH43" i="2"/>
  <c r="P42" i="2"/>
  <c r="U42" i="2"/>
  <c r="H177" i="6" s="1"/>
  <c r="H177" i="8" s="1"/>
  <c r="Z42" i="2"/>
  <c r="H247" i="6" s="1"/>
  <c r="H247" i="8" s="1"/>
  <c r="AE42" i="2"/>
  <c r="AJ42" i="2"/>
  <c r="H387" i="6" s="1"/>
  <c r="H387" i="8" s="1"/>
  <c r="AO42" i="2"/>
  <c r="H457" i="6" s="1"/>
  <c r="H457" i="8" s="1"/>
  <c r="AT42" i="2"/>
  <c r="H527" i="6" s="1"/>
  <c r="H527" i="8" s="1"/>
  <c r="AY42" i="2"/>
  <c r="H597" i="6" s="1"/>
  <c r="H597" i="8" s="1"/>
  <c r="BD42" i="2"/>
  <c r="BI42" i="2"/>
  <c r="Y56" i="2"/>
  <c r="Y32" i="2" s="1"/>
  <c r="AN56" i="2"/>
  <c r="AN26" i="2" s="1"/>
  <c r="AS56" i="2"/>
  <c r="AS44" i="2" s="1"/>
  <c r="BH56" i="2"/>
  <c r="BH32" i="2" s="1"/>
  <c r="T56" i="2"/>
  <c r="T32" i="2" s="1"/>
  <c r="O56" i="2"/>
  <c r="O32" i="2" s="1"/>
  <c r="AX56" i="2"/>
  <c r="AX32" i="2" s="1"/>
  <c r="BC56" i="2"/>
  <c r="BC41" i="2" s="1"/>
  <c r="AD56" i="2"/>
  <c r="AD41" i="2" s="1"/>
  <c r="AI56" i="2"/>
  <c r="AI45" i="2" s="1"/>
  <c r="H86" i="5"/>
  <c r="V425" i="6"/>
  <c r="V425" i="8" s="1"/>
  <c r="D495" i="6"/>
  <c r="D495" i="8" s="1"/>
  <c r="AA4" i="6"/>
  <c r="AA4" i="8" s="1"/>
  <c r="G4" i="8"/>
  <c r="BC35" i="2"/>
  <c r="AI35" i="2"/>
  <c r="O35" i="2"/>
  <c r="AX35" i="2"/>
  <c r="AD35" i="2"/>
  <c r="Y35" i="2"/>
  <c r="BH35" i="2"/>
  <c r="AN35" i="2"/>
  <c r="T35" i="2"/>
  <c r="BD35" i="2"/>
  <c r="AT35" i="2"/>
  <c r="AJ35" i="2"/>
  <c r="Z35" i="2"/>
  <c r="P35" i="2"/>
  <c r="BI35" i="2"/>
  <c r="BI33" i="2" s="1"/>
  <c r="AY35" i="2"/>
  <c r="AO35" i="2"/>
  <c r="AE35" i="2"/>
  <c r="U35" i="2"/>
  <c r="H4" i="6"/>
  <c r="I55" i="5"/>
  <c r="I57" i="5"/>
  <c r="H74" i="6" s="1"/>
  <c r="I56" i="5"/>
  <c r="M61" i="5"/>
  <c r="O61" i="5"/>
  <c r="I54" i="5"/>
  <c r="J51" i="5"/>
  <c r="H47" i="2"/>
  <c r="H51" i="2"/>
  <c r="H49" i="6" s="1"/>
  <c r="G24" i="2"/>
  <c r="F19" i="6" s="1"/>
  <c r="H37" i="2"/>
  <c r="H75" i="5" s="1"/>
  <c r="H42" i="2"/>
  <c r="H37" i="6" s="1"/>
  <c r="H37" i="8" s="1"/>
  <c r="G51" i="2"/>
  <c r="G25" i="2"/>
  <c r="F20" i="8" s="1"/>
  <c r="G39" i="2"/>
  <c r="G77" i="5" s="1"/>
  <c r="G43" i="2"/>
  <c r="H24" i="2"/>
  <c r="H19" i="6" s="1"/>
  <c r="G49" i="2"/>
  <c r="G53" i="2"/>
  <c r="F51" i="6" s="1"/>
  <c r="H53" i="2"/>
  <c r="H51" i="6" s="1"/>
  <c r="H62" i="2"/>
  <c r="G67" i="2"/>
  <c r="G37" i="2"/>
  <c r="G75" i="5" s="1"/>
  <c r="G42" i="2"/>
  <c r="H23" i="2"/>
  <c r="H39" i="2"/>
  <c r="H43" i="2"/>
  <c r="G48" i="2"/>
  <c r="F46" i="6" s="1"/>
  <c r="G52" i="2"/>
  <c r="H48" i="2"/>
  <c r="H52" i="2"/>
  <c r="H50" i="6" s="1"/>
  <c r="G63" i="2"/>
  <c r="H63" i="2"/>
  <c r="G62" i="2"/>
  <c r="G23" i="2"/>
  <c r="F18" i="6" s="1"/>
  <c r="G50" i="2"/>
  <c r="G54" i="2"/>
  <c r="F52" i="6" s="1"/>
  <c r="H50" i="2"/>
  <c r="H48" i="6" s="1"/>
  <c r="H54" i="2"/>
  <c r="H52" i="6" s="1"/>
  <c r="G68" i="2"/>
  <c r="H36" i="2"/>
  <c r="G36" i="2"/>
  <c r="H34" i="2"/>
  <c r="G34" i="2"/>
  <c r="H26" i="2"/>
  <c r="G47" i="2"/>
  <c r="F45" i="6" s="1"/>
  <c r="G26" i="2"/>
  <c r="F21" i="6" s="1"/>
  <c r="F21" i="8" s="1"/>
  <c r="H49" i="2"/>
  <c r="H47" i="6" s="1"/>
  <c r="G29" i="2"/>
  <c r="F24" i="6" s="1"/>
  <c r="F24" i="8" s="1"/>
  <c r="G32" i="2"/>
  <c r="G35" i="2"/>
  <c r="G40" i="2"/>
  <c r="G44" i="2"/>
  <c r="H41" i="2"/>
  <c r="H45" i="2"/>
  <c r="G31" i="2"/>
  <c r="F26" i="6" s="1"/>
  <c r="F26" i="8" s="1"/>
  <c r="G41" i="2"/>
  <c r="G45" i="2"/>
  <c r="H29" i="2"/>
  <c r="H32" i="2"/>
  <c r="H35" i="2"/>
  <c r="H40" i="2"/>
  <c r="H44" i="2"/>
  <c r="F30" i="2"/>
  <c r="F33" i="2"/>
  <c r="E22" i="2"/>
  <c r="E30" i="2"/>
  <c r="E33" i="2"/>
  <c r="E38" i="2"/>
  <c r="F38" i="2"/>
  <c r="D4" i="1"/>
  <c r="T26" i="2" l="1"/>
  <c r="O26" i="2"/>
  <c r="H108" i="6"/>
  <c r="L81" i="5"/>
  <c r="F108" i="6"/>
  <c r="K81" i="5"/>
  <c r="G81" i="5"/>
  <c r="F38" i="6"/>
  <c r="F38" i="8" s="1"/>
  <c r="H81" i="5"/>
  <c r="H38" i="6"/>
  <c r="H38" i="8" s="1"/>
  <c r="Z45" i="2"/>
  <c r="AS40" i="2"/>
  <c r="Z32" i="2"/>
  <c r="AO31" i="2"/>
  <c r="BI45" i="2"/>
  <c r="BI44" i="2"/>
  <c r="BD41" i="2"/>
  <c r="Z40" i="2"/>
  <c r="BI32" i="2"/>
  <c r="AS31" i="2"/>
  <c r="BD31" i="2"/>
  <c r="AE32" i="2"/>
  <c r="AY41" i="2"/>
  <c r="BI40" i="2"/>
  <c r="BI26" i="2"/>
  <c r="BI22" i="2" s="1"/>
  <c r="AJ32" i="2"/>
  <c r="AY45" i="2"/>
  <c r="AY32" i="2"/>
  <c r="AJ45" i="2"/>
  <c r="AJ41" i="2"/>
  <c r="T41" i="2"/>
  <c r="AO32" i="2"/>
  <c r="T31" i="2"/>
  <c r="Z41" i="2"/>
  <c r="AY31" i="2"/>
  <c r="Z29" i="2"/>
  <c r="AD44" i="2"/>
  <c r="Y45" i="2"/>
  <c r="AD45" i="2"/>
  <c r="Z26" i="2"/>
  <c r="AS32" i="2"/>
  <c r="AY44" i="2"/>
  <c r="AY29" i="2"/>
  <c r="BH41" i="2"/>
  <c r="BD32" i="2"/>
  <c r="BH31" i="2"/>
  <c r="BH30" i="2" s="1"/>
  <c r="P41" i="2"/>
  <c r="AJ31" i="2"/>
  <c r="AS29" i="2"/>
  <c r="AJ44" i="2"/>
  <c r="AY40" i="2"/>
  <c r="AT29" i="2"/>
  <c r="BH45" i="2"/>
  <c r="AS26" i="2"/>
  <c r="AO26" i="2"/>
  <c r="AX40" i="2"/>
  <c r="Y40" i="2"/>
  <c r="BC26" i="2"/>
  <c r="BC44" i="2"/>
  <c r="BH40" i="2"/>
  <c r="BC31" i="2"/>
  <c r="AE41" i="2"/>
  <c r="AJ40" i="2"/>
  <c r="BC45" i="2"/>
  <c r="AS41" i="2"/>
  <c r="AJ26" i="2"/>
  <c r="AJ22" i="2" s="1"/>
  <c r="BH44" i="2"/>
  <c r="BC40" i="2"/>
  <c r="BC32" i="2"/>
  <c r="AN29" i="2"/>
  <c r="P26" i="2"/>
  <c r="P32" i="2"/>
  <c r="U32" i="2"/>
  <c r="Y31" i="2"/>
  <c r="O31" i="2"/>
  <c r="P45" i="2"/>
  <c r="P31" i="2"/>
  <c r="AD29" i="2"/>
  <c r="AI29" i="2"/>
  <c r="BD44" i="2"/>
  <c r="U44" i="2"/>
  <c r="BD40" i="2"/>
  <c r="P40" i="2"/>
  <c r="AE29" i="2"/>
  <c r="T45" i="2"/>
  <c r="AN45" i="2"/>
  <c r="O41" i="2"/>
  <c r="AI41" i="2"/>
  <c r="AD26" i="2"/>
  <c r="AI26" i="2"/>
  <c r="BD26" i="2"/>
  <c r="AN44" i="2"/>
  <c r="AI44" i="2"/>
  <c r="AI40" i="2"/>
  <c r="AN40" i="2"/>
  <c r="AI32" i="2"/>
  <c r="AD32" i="2"/>
  <c r="AT32" i="2"/>
  <c r="AD31" i="2"/>
  <c r="AX31" i="2"/>
  <c r="BD45" i="2"/>
  <c r="AO45" i="2"/>
  <c r="U45" i="2"/>
  <c r="AO41" i="2"/>
  <c r="U41" i="2"/>
  <c r="BI31" i="2"/>
  <c r="AT31" i="2"/>
  <c r="Z31" i="2"/>
  <c r="BC29" i="2"/>
  <c r="BH29" i="2"/>
  <c r="BH27" i="2" s="1"/>
  <c r="T29" i="2"/>
  <c r="AO44" i="2"/>
  <c r="AT44" i="2"/>
  <c r="AE44" i="2"/>
  <c r="AT40" i="2"/>
  <c r="AO40" i="2"/>
  <c r="P29" i="2"/>
  <c r="O45" i="2"/>
  <c r="AS45" i="2"/>
  <c r="Y41" i="2"/>
  <c r="AN41" i="2"/>
  <c r="BH26" i="2"/>
  <c r="BH22" i="2" s="1"/>
  <c r="AE26" i="2"/>
  <c r="AT26" i="2"/>
  <c r="Y44" i="2"/>
  <c r="T44" i="2"/>
  <c r="AD40" i="2"/>
  <c r="T40" i="2"/>
  <c r="AN32" i="2"/>
  <c r="AN31" i="2"/>
  <c r="AE40" i="2"/>
  <c r="AI31" i="2"/>
  <c r="AE45" i="2"/>
  <c r="AT45" i="2"/>
  <c r="BI41" i="2"/>
  <c r="U31" i="2"/>
  <c r="Y29" i="2"/>
  <c r="AX29" i="2"/>
  <c r="O29" i="2"/>
  <c r="F94" i="6" s="1"/>
  <c r="U40" i="2"/>
  <c r="U29" i="2"/>
  <c r="AX45" i="2"/>
  <c r="AX41" i="2"/>
  <c r="Y26" i="2"/>
  <c r="AX26" i="2"/>
  <c r="AX44" i="2"/>
  <c r="O44" i="2"/>
  <c r="O40" i="2"/>
  <c r="J84" i="5"/>
  <c r="J72" i="5"/>
  <c r="F31" i="6"/>
  <c r="F31" i="8" s="1"/>
  <c r="G74" i="5"/>
  <c r="D565" i="6"/>
  <c r="D565" i="8" s="1"/>
  <c r="M495" i="6"/>
  <c r="M495" i="8" s="1"/>
  <c r="V495" i="6"/>
  <c r="V495" i="8" s="1"/>
  <c r="AA47" i="6"/>
  <c r="AA47" i="8" s="1"/>
  <c r="H47" i="8"/>
  <c r="AA50" i="6"/>
  <c r="AA50" i="8" s="1"/>
  <c r="H50" i="8"/>
  <c r="Q4" i="6"/>
  <c r="Q4" i="8" s="1"/>
  <c r="H4" i="8"/>
  <c r="X52" i="6"/>
  <c r="X52" i="8" s="1"/>
  <c r="F52" i="8"/>
  <c r="AA49" i="6"/>
  <c r="AA49" i="8" s="1"/>
  <c r="H49" i="8"/>
  <c r="Q74" i="6"/>
  <c r="Q74" i="8" s="1"/>
  <c r="H74" i="8"/>
  <c r="X45" i="6"/>
  <c r="X45" i="8" s="1"/>
  <c r="F45" i="8"/>
  <c r="X51" i="6"/>
  <c r="X51" i="8" s="1"/>
  <c r="F51" i="8"/>
  <c r="AA48" i="6"/>
  <c r="AA48" i="8" s="1"/>
  <c r="H48" i="8"/>
  <c r="AA19" i="6"/>
  <c r="AA19" i="8" s="1"/>
  <c r="H19" i="8"/>
  <c r="AA51" i="6"/>
  <c r="AA51" i="8" s="1"/>
  <c r="H51" i="8"/>
  <c r="AA52" i="6"/>
  <c r="AA52" i="8" s="1"/>
  <c r="H52" i="8"/>
  <c r="X18" i="6"/>
  <c r="X18" i="8" s="1"/>
  <c r="F18" i="8"/>
  <c r="X46" i="6"/>
  <c r="X46" i="8" s="1"/>
  <c r="F46" i="8"/>
  <c r="X19" i="6"/>
  <c r="X19" i="8" s="1"/>
  <c r="F19" i="8"/>
  <c r="F29" i="6"/>
  <c r="F29" i="8" s="1"/>
  <c r="G84" i="5"/>
  <c r="G85" i="5" s="1"/>
  <c r="K86" i="5" s="1"/>
  <c r="G72" i="5"/>
  <c r="F30" i="6"/>
  <c r="F30" i="8" s="1"/>
  <c r="G73" i="5"/>
  <c r="H84" i="5"/>
  <c r="H85" i="5" s="1"/>
  <c r="H72" i="5"/>
  <c r="F37" i="6"/>
  <c r="F37" i="8" s="1"/>
  <c r="G80" i="5"/>
  <c r="O84" i="5"/>
  <c r="P84" i="5"/>
  <c r="O72" i="5"/>
  <c r="P72" i="5"/>
  <c r="J43" i="2"/>
  <c r="J42" i="2"/>
  <c r="I43" i="2"/>
  <c r="I42" i="2"/>
  <c r="I58" i="5"/>
  <c r="X20" i="6"/>
  <c r="I36" i="2"/>
  <c r="O31" i="6" s="1"/>
  <c r="O31" i="8" s="1"/>
  <c r="I63" i="2"/>
  <c r="J36" i="2"/>
  <c r="J74" i="5" s="1"/>
  <c r="J35" i="2"/>
  <c r="I68" i="2"/>
  <c r="I67" i="2" s="1"/>
  <c r="I62" i="2"/>
  <c r="I35" i="2"/>
  <c r="I73" i="5" s="1"/>
  <c r="J63" i="2"/>
  <c r="J62" i="2"/>
  <c r="AB4" i="6"/>
  <c r="AB4" i="8" s="1"/>
  <c r="AB74" i="6"/>
  <c r="AB74" i="8" s="1"/>
  <c r="BD33" i="2"/>
  <c r="AD33" i="2"/>
  <c r="T33" i="2"/>
  <c r="J55" i="5"/>
  <c r="J57" i="5"/>
  <c r="J56" i="5"/>
  <c r="G74" i="6"/>
  <c r="H27" i="6"/>
  <c r="H27" i="8" s="1"/>
  <c r="H70" i="5"/>
  <c r="H35" i="6"/>
  <c r="H35" i="8" s="1"/>
  <c r="H78" i="5"/>
  <c r="G83" i="5"/>
  <c r="F40" i="6"/>
  <c r="F40" i="8" s="1"/>
  <c r="H36" i="6"/>
  <c r="H36" i="8" s="1"/>
  <c r="H79" i="5"/>
  <c r="Q29" i="6"/>
  <c r="Q29" i="8" s="1"/>
  <c r="H30" i="6"/>
  <c r="H30" i="8" s="1"/>
  <c r="H73" i="5"/>
  <c r="F36" i="6"/>
  <c r="F36" i="8" s="1"/>
  <c r="G79" i="5"/>
  <c r="H69" i="5"/>
  <c r="H26" i="6"/>
  <c r="H26" i="8" s="1"/>
  <c r="F27" i="6"/>
  <c r="F27" i="8" s="1"/>
  <c r="G70" i="5"/>
  <c r="G69" i="5"/>
  <c r="G82" i="5"/>
  <c r="F39" i="6"/>
  <c r="F39" i="8" s="1"/>
  <c r="G64" i="6"/>
  <c r="G64" i="8" s="1"/>
  <c r="H34" i="6"/>
  <c r="H34" i="8" s="1"/>
  <c r="H77" i="5"/>
  <c r="H80" i="5"/>
  <c r="Q61" i="5"/>
  <c r="S61" i="5"/>
  <c r="H82" i="5"/>
  <c r="H39" i="6"/>
  <c r="H39" i="8" s="1"/>
  <c r="H67" i="5"/>
  <c r="H24" i="6"/>
  <c r="H24" i="8" s="1"/>
  <c r="H83" i="5"/>
  <c r="H40" i="6"/>
  <c r="H40" i="8" s="1"/>
  <c r="F35" i="6"/>
  <c r="F35" i="8" s="1"/>
  <c r="G78" i="5"/>
  <c r="H64" i="5"/>
  <c r="H21" i="6"/>
  <c r="H21" i="8" s="1"/>
  <c r="H29" i="6"/>
  <c r="H29" i="8" s="1"/>
  <c r="H31" i="6"/>
  <c r="H31" i="8" s="1"/>
  <c r="H74" i="5"/>
  <c r="G67" i="5"/>
  <c r="G64" i="5"/>
  <c r="G63" i="5"/>
  <c r="J54" i="5"/>
  <c r="K51" i="5"/>
  <c r="H64" i="6"/>
  <c r="H64" i="8" s="1"/>
  <c r="G89" i="2"/>
  <c r="H89" i="2"/>
  <c r="G33" i="2"/>
  <c r="G71" i="5" s="1"/>
  <c r="E18" i="2"/>
  <c r="Q4" i="1"/>
  <c r="H33" i="2"/>
  <c r="H71" i="5" s="1"/>
  <c r="BI27" i="2"/>
  <c r="BH33" i="2"/>
  <c r="H38" i="2"/>
  <c r="H76" i="5" s="1"/>
  <c r="G38" i="2"/>
  <c r="G76" i="5" s="1"/>
  <c r="G30" i="2"/>
  <c r="G22" i="2"/>
  <c r="H30" i="2"/>
  <c r="H68" i="5" s="1"/>
  <c r="J81" i="5" l="1"/>
  <c r="Q38" i="6"/>
  <c r="I81" i="5"/>
  <c r="O38" i="6"/>
  <c r="D635" i="6"/>
  <c r="D635" i="8" s="1"/>
  <c r="V565" i="6"/>
  <c r="V565" i="8" s="1"/>
  <c r="AB49" i="6"/>
  <c r="AB49" i="8" s="1"/>
  <c r="Y52" i="6"/>
  <c r="Y52" i="8" s="1"/>
  <c r="Y19" i="6"/>
  <c r="Y19" i="8" s="1"/>
  <c r="AB48" i="6"/>
  <c r="AB48" i="8" s="1"/>
  <c r="Y18" i="6"/>
  <c r="Y18" i="8" s="1"/>
  <c r="AB51" i="6"/>
  <c r="AB51" i="8" s="1"/>
  <c r="M565" i="6"/>
  <c r="M565" i="8" s="1"/>
  <c r="Y46" i="6"/>
  <c r="Y46" i="8" s="1"/>
  <c r="AB47" i="6"/>
  <c r="AB47" i="8" s="1"/>
  <c r="AB19" i="6"/>
  <c r="AB19" i="8" s="1"/>
  <c r="Y20" i="6"/>
  <c r="Y20" i="8" s="1"/>
  <c r="X20" i="8"/>
  <c r="AB52" i="6"/>
  <c r="AB52" i="8" s="1"/>
  <c r="AB50" i="6"/>
  <c r="AB50" i="8" s="1"/>
  <c r="AA74" i="6"/>
  <c r="AA74" i="8" s="1"/>
  <c r="G74" i="8"/>
  <c r="Y51" i="6"/>
  <c r="Y51" i="8" s="1"/>
  <c r="L86" i="5"/>
  <c r="F28" i="6"/>
  <c r="F28" i="8" s="1"/>
  <c r="R34" i="2"/>
  <c r="Q34" i="2"/>
  <c r="T84" i="5"/>
  <c r="S84" i="5"/>
  <c r="I72" i="5"/>
  <c r="I84" i="5"/>
  <c r="O37" i="6"/>
  <c r="I80" i="5"/>
  <c r="S72" i="5"/>
  <c r="T72" i="5"/>
  <c r="J45" i="2"/>
  <c r="J41" i="2"/>
  <c r="J79" i="5" s="1"/>
  <c r="J32" i="2"/>
  <c r="J29" i="2"/>
  <c r="J40" i="2"/>
  <c r="J26" i="2"/>
  <c r="J44" i="2"/>
  <c r="J31" i="2"/>
  <c r="R43" i="2"/>
  <c r="Q43" i="2"/>
  <c r="Q42" i="2"/>
  <c r="R42" i="2"/>
  <c r="I40" i="2"/>
  <c r="I26" i="2"/>
  <c r="I41" i="2"/>
  <c r="I32" i="2"/>
  <c r="I70" i="5" s="1"/>
  <c r="I29" i="2"/>
  <c r="I27" i="2" s="1"/>
  <c r="I65" i="5" s="1"/>
  <c r="I45" i="2"/>
  <c r="I44" i="2"/>
  <c r="I31" i="2"/>
  <c r="Q37" i="6"/>
  <c r="J80" i="5"/>
  <c r="Q66" i="2"/>
  <c r="Q65" i="2" s="1"/>
  <c r="R66" i="2"/>
  <c r="R65" i="2" s="1"/>
  <c r="Q36" i="2"/>
  <c r="M74" i="5" s="1"/>
  <c r="Q68" i="2"/>
  <c r="Q67" i="2" s="1"/>
  <c r="Q62" i="2"/>
  <c r="Q63" i="2"/>
  <c r="R63" i="2"/>
  <c r="R36" i="2"/>
  <c r="Q101" i="6" s="1"/>
  <c r="Q101" i="8" s="1"/>
  <c r="Q69" i="2"/>
  <c r="R69" i="2"/>
  <c r="R62" i="2"/>
  <c r="R35" i="2"/>
  <c r="R68" i="2"/>
  <c r="R67" i="2" s="1"/>
  <c r="Q35" i="2"/>
  <c r="AA34" i="6"/>
  <c r="AA29" i="6"/>
  <c r="X31" i="6"/>
  <c r="BH38" i="2"/>
  <c r="BH46" i="2" s="1"/>
  <c r="H144" i="6"/>
  <c r="AS22" i="2"/>
  <c r="AT27" i="2"/>
  <c r="AN27" i="2"/>
  <c r="AS30" i="2"/>
  <c r="Z22" i="2"/>
  <c r="Y33" i="2"/>
  <c r="AO22" i="2"/>
  <c r="Y27" i="2"/>
  <c r="Z27" i="2"/>
  <c r="AJ27" i="2"/>
  <c r="AT22" i="2"/>
  <c r="AD27" i="2"/>
  <c r="BC33" i="2"/>
  <c r="BD27" i="2"/>
  <c r="BC22" i="2"/>
  <c r="AN33" i="2"/>
  <c r="Z33" i="2"/>
  <c r="AI33" i="2"/>
  <c r="AE22" i="2"/>
  <c r="AN22" i="2"/>
  <c r="AE33" i="2"/>
  <c r="AD22" i="2"/>
  <c r="AE27" i="2"/>
  <c r="AS33" i="2"/>
  <c r="AS27" i="2"/>
  <c r="Y22" i="2"/>
  <c r="AI22" i="2"/>
  <c r="AI27" i="2"/>
  <c r="AT30" i="2"/>
  <c r="AO33" i="2"/>
  <c r="AJ33" i="2"/>
  <c r="AT33" i="2"/>
  <c r="AO27" i="2"/>
  <c r="BC27" i="2"/>
  <c r="BD22" i="2"/>
  <c r="P27" i="2"/>
  <c r="O30" i="2"/>
  <c r="T27" i="2"/>
  <c r="T38" i="2"/>
  <c r="U27" i="2"/>
  <c r="P33" i="2"/>
  <c r="O33" i="2"/>
  <c r="T22" i="2"/>
  <c r="U33" i="2"/>
  <c r="U22" i="2"/>
  <c r="O27" i="2"/>
  <c r="G144" i="6"/>
  <c r="K55" i="5"/>
  <c r="K57" i="5"/>
  <c r="K56" i="5"/>
  <c r="G214" i="6" s="1"/>
  <c r="Q31" i="6"/>
  <c r="Q31" i="8" s="1"/>
  <c r="F25" i="6"/>
  <c r="F25" i="8" s="1"/>
  <c r="O30" i="6"/>
  <c r="O30" i="8" s="1"/>
  <c r="I74" i="5"/>
  <c r="H33" i="6"/>
  <c r="H33" i="8" s="1"/>
  <c r="H28" i="6"/>
  <c r="H28" i="8" s="1"/>
  <c r="F33" i="6"/>
  <c r="F33" i="8" s="1"/>
  <c r="H25" i="6"/>
  <c r="H25" i="8" s="1"/>
  <c r="AB64" i="6"/>
  <c r="AH39" i="6" s="1"/>
  <c r="Z64" i="6"/>
  <c r="AG39" i="6" s="1"/>
  <c r="Y45" i="6"/>
  <c r="Y45" i="8" s="1"/>
  <c r="O29" i="6"/>
  <c r="W61" i="5"/>
  <c r="U61" i="5"/>
  <c r="Q30" i="6"/>
  <c r="J73" i="5"/>
  <c r="J33" i="2"/>
  <c r="J71" i="5" s="1"/>
  <c r="F17" i="6"/>
  <c r="F17" i="8" s="1"/>
  <c r="I33" i="2"/>
  <c r="I71" i="5" s="1"/>
  <c r="K54" i="5"/>
  <c r="L51" i="5"/>
  <c r="E55" i="2"/>
  <c r="E60" i="2"/>
  <c r="I60" i="2" s="1"/>
  <c r="E80" i="2"/>
  <c r="I80" i="2" s="1"/>
  <c r="I19" i="2"/>
  <c r="O18" i="2"/>
  <c r="Q19" i="2" s="1"/>
  <c r="E3" i="2"/>
  <c r="F5" i="2" s="1"/>
  <c r="F55" i="2"/>
  <c r="P30" i="2"/>
  <c r="AY30" i="2"/>
  <c r="AX33" i="2"/>
  <c r="AX30" i="2"/>
  <c r="AY33" i="2"/>
  <c r="AX27" i="2"/>
  <c r="AY27" i="2"/>
  <c r="AY22" i="2"/>
  <c r="AX22" i="2"/>
  <c r="AN38" i="2"/>
  <c r="AJ38" i="2"/>
  <c r="O38" i="2"/>
  <c r="BC30" i="2"/>
  <c r="BI30" i="2"/>
  <c r="U38" i="2"/>
  <c r="AI38" i="2"/>
  <c r="P38" i="2"/>
  <c r="AN30" i="2"/>
  <c r="AD30" i="2"/>
  <c r="BI38" i="2"/>
  <c r="AX38" i="2"/>
  <c r="AD38" i="2"/>
  <c r="BC38" i="2"/>
  <c r="AE30" i="2"/>
  <c r="AJ30" i="2"/>
  <c r="AY38" i="2"/>
  <c r="Y38" i="2"/>
  <c r="AI30" i="2"/>
  <c r="BD38" i="2"/>
  <c r="BD30" i="2"/>
  <c r="Z30" i="2"/>
  <c r="AO38" i="2"/>
  <c r="Y30" i="2"/>
  <c r="AO30" i="2"/>
  <c r="AE38" i="2"/>
  <c r="Z38" i="2"/>
  <c r="U30" i="2"/>
  <c r="T30" i="2"/>
  <c r="AT38" i="2"/>
  <c r="AS38" i="2"/>
  <c r="E30" i="4"/>
  <c r="R64" i="2" l="1"/>
  <c r="R71" i="2" s="1"/>
  <c r="R74" i="2" s="1"/>
  <c r="R75" i="2" s="1"/>
  <c r="R77" i="2" s="1"/>
  <c r="R85" i="2" s="1"/>
  <c r="Q130" i="6" s="1"/>
  <c r="Q130" i="8" s="1"/>
  <c r="Q64" i="2"/>
  <c r="Q71" i="2" s="1"/>
  <c r="Q74" i="2" s="1"/>
  <c r="Q75" i="2" s="1"/>
  <c r="Q77" i="2" s="1"/>
  <c r="Q85" i="2" s="1"/>
  <c r="P130" i="6" s="1"/>
  <c r="P130" i="8" s="1"/>
  <c r="V635" i="6"/>
  <c r="V635" i="8" s="1"/>
  <c r="D705" i="6"/>
  <c r="D705" i="8" s="1"/>
  <c r="M635" i="6"/>
  <c r="M635" i="8" s="1"/>
  <c r="N81" i="5"/>
  <c r="Q108" i="6"/>
  <c r="Q108" i="8" s="1"/>
  <c r="M81" i="5"/>
  <c r="O108" i="6"/>
  <c r="O108" i="8" s="1"/>
  <c r="Z64" i="8"/>
  <c r="Y31" i="6"/>
  <c r="Y31" i="8" s="1"/>
  <c r="X31" i="8"/>
  <c r="X37" i="6"/>
  <c r="O37" i="8"/>
  <c r="AB64" i="8"/>
  <c r="AA144" i="6"/>
  <c r="AA144" i="8" s="1"/>
  <c r="G144" i="8"/>
  <c r="Q144" i="6"/>
  <c r="Q144" i="8" s="1"/>
  <c r="H144" i="8"/>
  <c r="AB29" i="6"/>
  <c r="AB29" i="8" s="1"/>
  <c r="AA29" i="8"/>
  <c r="X29" i="6"/>
  <c r="X29" i="8" s="1"/>
  <c r="O29" i="8"/>
  <c r="AA214" i="6"/>
  <c r="AA214" i="8" s="1"/>
  <c r="G214" i="8"/>
  <c r="AB34" i="6"/>
  <c r="AB34" i="8" s="1"/>
  <c r="AA34" i="8"/>
  <c r="AA37" i="6"/>
  <c r="Q37" i="8"/>
  <c r="AA38" i="6"/>
  <c r="AB38" i="6" s="1"/>
  <c r="Q38" i="8"/>
  <c r="X38" i="6"/>
  <c r="Y38" i="6" s="1"/>
  <c r="O38" i="8"/>
  <c r="AA30" i="6"/>
  <c r="AA30" i="8" s="1"/>
  <c r="Q30" i="8"/>
  <c r="M72" i="5"/>
  <c r="M84" i="5"/>
  <c r="O99" i="6"/>
  <c r="O99" i="8" s="1"/>
  <c r="N72" i="5"/>
  <c r="N84" i="5"/>
  <c r="Q99" i="6"/>
  <c r="Q99" i="8" s="1"/>
  <c r="Q107" i="6"/>
  <c r="Q107" i="8" s="1"/>
  <c r="N80" i="5"/>
  <c r="O107" i="6"/>
  <c r="O107" i="8" s="1"/>
  <c r="M80" i="5"/>
  <c r="Q45" i="2"/>
  <c r="Q44" i="2"/>
  <c r="Q41" i="2"/>
  <c r="Q40" i="2"/>
  <c r="M78" i="5" s="1"/>
  <c r="Q31" i="2"/>
  <c r="O96" i="6" s="1"/>
  <c r="O96" i="8" s="1"/>
  <c r="Q29" i="2"/>
  <c r="M67" i="5" s="1"/>
  <c r="Q26" i="2"/>
  <c r="Q32" i="2"/>
  <c r="M70" i="5" s="1"/>
  <c r="R45" i="2"/>
  <c r="R44" i="2"/>
  <c r="R41" i="2"/>
  <c r="R40" i="2"/>
  <c r="R31" i="2"/>
  <c r="N69" i="5" s="1"/>
  <c r="R29" i="2"/>
  <c r="N67" i="5" s="1"/>
  <c r="R26" i="2"/>
  <c r="N64" i="5" s="1"/>
  <c r="R32" i="2"/>
  <c r="N70" i="5" s="1"/>
  <c r="O27" i="6"/>
  <c r="Q36" i="6"/>
  <c r="M64" i="5"/>
  <c r="AA31" i="6"/>
  <c r="X30" i="6"/>
  <c r="N74" i="5"/>
  <c r="AB144" i="6"/>
  <c r="AB144" i="8" s="1"/>
  <c r="O101" i="6"/>
  <c r="O101" i="8" s="1"/>
  <c r="H214" i="6"/>
  <c r="I67" i="5"/>
  <c r="T46" i="2"/>
  <c r="AT46" i="2"/>
  <c r="AD46" i="2"/>
  <c r="AS46" i="2"/>
  <c r="AJ46" i="2"/>
  <c r="L55" i="5"/>
  <c r="L57" i="5"/>
  <c r="L56" i="5"/>
  <c r="G284" i="6" s="1"/>
  <c r="O28" i="6"/>
  <c r="O28" i="8" s="1"/>
  <c r="O24" i="6"/>
  <c r="O24" i="8" s="1"/>
  <c r="Y61" i="5"/>
  <c r="AA61" i="5"/>
  <c r="Q39" i="6"/>
  <c r="Q39" i="8" s="1"/>
  <c r="J82" i="5"/>
  <c r="Q35" i="6"/>
  <c r="J78" i="5"/>
  <c r="O40" i="6"/>
  <c r="O40" i="8" s="1"/>
  <c r="I83" i="5"/>
  <c r="J70" i="5"/>
  <c r="Q27" i="6"/>
  <c r="Q27" i="8" s="1"/>
  <c r="O26" i="6"/>
  <c r="I69" i="5"/>
  <c r="J22" i="2"/>
  <c r="Q21" i="6"/>
  <c r="Q21" i="8" s="1"/>
  <c r="J64" i="5"/>
  <c r="J83" i="5"/>
  <c r="Q40" i="6"/>
  <c r="Q40" i="8" s="1"/>
  <c r="Q26" i="6"/>
  <c r="J69" i="5"/>
  <c r="I79" i="5"/>
  <c r="O36" i="6"/>
  <c r="O36" i="8" s="1"/>
  <c r="O35" i="6"/>
  <c r="I78" i="5"/>
  <c r="J67" i="5"/>
  <c r="Q24" i="6"/>
  <c r="Q24" i="8" s="1"/>
  <c r="O21" i="6"/>
  <c r="I64" i="5"/>
  <c r="I82" i="5"/>
  <c r="O39" i="6"/>
  <c r="O39" i="8" s="1"/>
  <c r="Q28" i="6"/>
  <c r="Q28" i="8" s="1"/>
  <c r="I22" i="2"/>
  <c r="I30" i="2"/>
  <c r="I68" i="5" s="1"/>
  <c r="I38" i="2"/>
  <c r="I76" i="5" s="1"/>
  <c r="J27" i="2"/>
  <c r="J65" i="5" s="1"/>
  <c r="J38" i="2"/>
  <c r="J76" i="5" s="1"/>
  <c r="J30" i="2"/>
  <c r="J68" i="5" s="1"/>
  <c r="M73" i="5"/>
  <c r="L54" i="5"/>
  <c r="M51" i="5"/>
  <c r="BC46" i="2"/>
  <c r="F25" i="2"/>
  <c r="F28" i="2"/>
  <c r="BH84" i="2"/>
  <c r="BH83" i="2"/>
  <c r="O55" i="2"/>
  <c r="T18" i="2"/>
  <c r="T60" i="2" s="1"/>
  <c r="N21" i="2"/>
  <c r="G3" i="2"/>
  <c r="H3" i="2" s="1"/>
  <c r="I5" i="2" s="1"/>
  <c r="O60" i="2"/>
  <c r="Q60" i="2" s="1"/>
  <c r="AY46" i="2"/>
  <c r="P55" i="2"/>
  <c r="AX46" i="2"/>
  <c r="AN46" i="2"/>
  <c r="U46" i="2"/>
  <c r="BI46" i="2"/>
  <c r="AI46" i="2"/>
  <c r="Y46" i="2"/>
  <c r="BD46" i="2"/>
  <c r="AE46" i="2"/>
  <c r="AO46" i="2"/>
  <c r="Z46" i="2"/>
  <c r="P22" i="2"/>
  <c r="O22" i="2"/>
  <c r="F30" i="4"/>
  <c r="G30" i="4" s="1"/>
  <c r="H30" i="4" s="1"/>
  <c r="I30" i="4" s="1"/>
  <c r="J30" i="4" s="1"/>
  <c r="K30" i="4" s="1"/>
  <c r="L30" i="4" s="1"/>
  <c r="M30" i="4" s="1"/>
  <c r="N30" i="4" s="1"/>
  <c r="O30" i="4" s="1"/>
  <c r="F28" i="1"/>
  <c r="G28" i="1"/>
  <c r="H28" i="1"/>
  <c r="E28" i="1"/>
  <c r="F25" i="1"/>
  <c r="G25" i="1"/>
  <c r="H25" i="1"/>
  <c r="E25" i="1"/>
  <c r="G22" i="1"/>
  <c r="E22" i="1"/>
  <c r="G17" i="1"/>
  <c r="F17" i="1"/>
  <c r="E17" i="1"/>
  <c r="M705" i="6" l="1"/>
  <c r="M705" i="8" s="1"/>
  <c r="V705" i="6"/>
  <c r="V705" i="8" s="1"/>
  <c r="X35" i="6"/>
  <c r="X35" i="8" s="1"/>
  <c r="O35" i="8"/>
  <c r="AB31" i="6"/>
  <c r="AB31" i="8" s="1"/>
  <c r="AA31" i="8"/>
  <c r="AA35" i="6"/>
  <c r="AA35" i="8" s="1"/>
  <c r="Q35" i="8"/>
  <c r="AB38" i="8"/>
  <c r="AA38" i="8"/>
  <c r="Y29" i="6"/>
  <c r="Y29" i="8" s="1"/>
  <c r="Q214" i="6"/>
  <c r="Q214" i="8" s="1"/>
  <c r="H214" i="8"/>
  <c r="AA36" i="6"/>
  <c r="Q36" i="8"/>
  <c r="X21" i="6"/>
  <c r="X21" i="8" s="1"/>
  <c r="O21" i="8"/>
  <c r="AA26" i="6"/>
  <c r="AA26" i="8" s="1"/>
  <c r="Q26" i="8"/>
  <c r="X26" i="6"/>
  <c r="X26" i="8" s="1"/>
  <c r="O26" i="8"/>
  <c r="AA284" i="6"/>
  <c r="AA284" i="8" s="1"/>
  <c r="G284" i="8"/>
  <c r="Y30" i="6"/>
  <c r="Y30" i="8" s="1"/>
  <c r="X30" i="8"/>
  <c r="X27" i="6"/>
  <c r="O27" i="8"/>
  <c r="Y38" i="8"/>
  <c r="X38" i="8"/>
  <c r="AB37" i="6"/>
  <c r="AB37" i="8" s="1"/>
  <c r="AA37" i="8"/>
  <c r="Y37" i="6"/>
  <c r="Y37" i="8" s="1"/>
  <c r="X37" i="8"/>
  <c r="AB84" i="5"/>
  <c r="AA84" i="5"/>
  <c r="AA72" i="5"/>
  <c r="AB72" i="5"/>
  <c r="Q96" i="6"/>
  <c r="Q96" i="8" s="1"/>
  <c r="M69" i="5"/>
  <c r="X39" i="6"/>
  <c r="AA24" i="6"/>
  <c r="X36" i="6"/>
  <c r="AA40" i="6"/>
  <c r="X40" i="6"/>
  <c r="AA39" i="6"/>
  <c r="X24" i="6"/>
  <c r="AA21" i="6"/>
  <c r="AA27" i="6"/>
  <c r="H22" i="1"/>
  <c r="R69" i="5"/>
  <c r="Q166" i="6"/>
  <c r="Q166" i="8" s="1"/>
  <c r="Q69" i="5"/>
  <c r="O166" i="6"/>
  <c r="O166" i="8" s="1"/>
  <c r="O171" i="6"/>
  <c r="O171" i="8" s="1"/>
  <c r="Q74" i="5"/>
  <c r="V30" i="2"/>
  <c r="Q68" i="5" s="1"/>
  <c r="R64" i="5"/>
  <c r="Q171" i="6"/>
  <c r="Q171" i="8" s="1"/>
  <c r="R74" i="5"/>
  <c r="BC84" i="2"/>
  <c r="AT84" i="2"/>
  <c r="AS84" i="2"/>
  <c r="AJ84" i="2"/>
  <c r="AD84" i="2"/>
  <c r="T83" i="2"/>
  <c r="H284" i="6"/>
  <c r="AB214" i="6"/>
  <c r="AB214" i="8" s="1"/>
  <c r="AD83" i="2"/>
  <c r="AT83" i="2"/>
  <c r="T84" i="2"/>
  <c r="AS83" i="2"/>
  <c r="BC83" i="2"/>
  <c r="AJ83" i="2"/>
  <c r="U55" i="2"/>
  <c r="Y18" i="2"/>
  <c r="Z55" i="2" s="1"/>
  <c r="V19" i="2"/>
  <c r="O22" i="6"/>
  <c r="O22" i="8" s="1"/>
  <c r="M55" i="5"/>
  <c r="M57" i="5"/>
  <c r="M56" i="5"/>
  <c r="Q106" i="6"/>
  <c r="Q106" i="8" s="1"/>
  <c r="N79" i="5"/>
  <c r="Q105" i="6"/>
  <c r="Q105" i="8" s="1"/>
  <c r="N78" i="5"/>
  <c r="O109" i="6"/>
  <c r="O109" i="8" s="1"/>
  <c r="M82" i="5"/>
  <c r="Q109" i="6"/>
  <c r="Q109" i="8" s="1"/>
  <c r="N82" i="5"/>
  <c r="O106" i="6"/>
  <c r="O106" i="8" s="1"/>
  <c r="M79" i="5"/>
  <c r="Q100" i="6"/>
  <c r="Q100" i="8" s="1"/>
  <c r="N73" i="5"/>
  <c r="Q110" i="6"/>
  <c r="Q110" i="8" s="1"/>
  <c r="N83" i="5"/>
  <c r="O110" i="6"/>
  <c r="O110" i="8" s="1"/>
  <c r="M83" i="5"/>
  <c r="O17" i="6"/>
  <c r="O17" i="8" s="1"/>
  <c r="X28" i="6"/>
  <c r="X28" i="8" s="1"/>
  <c r="Q22" i="6"/>
  <c r="Q22" i="8" s="1"/>
  <c r="AC61" i="5"/>
  <c r="AE61" i="5"/>
  <c r="Q33" i="6"/>
  <c r="Q33" i="8" s="1"/>
  <c r="Q25" i="6"/>
  <c r="Q25" i="8" s="1"/>
  <c r="O33" i="6"/>
  <c r="O33" i="8" s="1"/>
  <c r="O25" i="6"/>
  <c r="O25" i="8" s="1"/>
  <c r="AB30" i="6"/>
  <c r="AB30" i="8" s="1"/>
  <c r="AA28" i="6"/>
  <c r="AA28" i="8" s="1"/>
  <c r="Q17" i="6"/>
  <c r="Q17" i="8" s="1"/>
  <c r="I46" i="2"/>
  <c r="I83" i="2" s="1"/>
  <c r="Q73" i="5"/>
  <c r="W71" i="2"/>
  <c r="W74" i="2" s="1"/>
  <c r="W75" i="2" s="1"/>
  <c r="W77" i="2" s="1"/>
  <c r="W85" i="2" s="1"/>
  <c r="Q200" i="6" s="1"/>
  <c r="Q200" i="8" s="1"/>
  <c r="V71" i="2"/>
  <c r="V74" i="2" s="1"/>
  <c r="V75" i="2" s="1"/>
  <c r="V77" i="2" s="1"/>
  <c r="V85" i="2" s="1"/>
  <c r="P200" i="6" s="1"/>
  <c r="P200" i="8" s="1"/>
  <c r="J46" i="2"/>
  <c r="J83" i="2" s="1"/>
  <c r="R38" i="2"/>
  <c r="N76" i="5" s="1"/>
  <c r="AB65" i="2"/>
  <c r="AB67" i="2"/>
  <c r="Q97" i="6"/>
  <c r="Q97" i="8" s="1"/>
  <c r="R30" i="2"/>
  <c r="N68" i="5" s="1"/>
  <c r="O91" i="6"/>
  <c r="O91" i="8" s="1"/>
  <c r="Q22" i="2"/>
  <c r="M54" i="5"/>
  <c r="N51" i="5"/>
  <c r="O105" i="6"/>
  <c r="O105" i="8" s="1"/>
  <c r="Q38" i="2"/>
  <c r="M76" i="5" s="1"/>
  <c r="R22" i="2"/>
  <c r="Q91" i="6"/>
  <c r="Q91" i="8" s="1"/>
  <c r="Q33" i="2"/>
  <c r="M71" i="5" s="1"/>
  <c r="O100" i="6"/>
  <c r="O100" i="8" s="1"/>
  <c r="Q30" i="2"/>
  <c r="M68" i="5" s="1"/>
  <c r="O97" i="6"/>
  <c r="O97" i="8" s="1"/>
  <c r="R27" i="2"/>
  <c r="N65" i="5" s="1"/>
  <c r="Q94" i="6"/>
  <c r="Q94" i="8" s="1"/>
  <c r="Q27" i="2"/>
  <c r="M65" i="5" s="1"/>
  <c r="O94" i="6"/>
  <c r="O94" i="8" s="1"/>
  <c r="O80" i="2"/>
  <c r="Q80" i="2" s="1"/>
  <c r="AE84" i="2"/>
  <c r="AE83" i="2"/>
  <c r="U84" i="2"/>
  <c r="U83" i="2"/>
  <c r="F22" i="2"/>
  <c r="H25" i="2"/>
  <c r="H63" i="5" s="1"/>
  <c r="H17" i="1"/>
  <c r="Z84" i="2"/>
  <c r="Z83" i="2"/>
  <c r="Y84" i="2"/>
  <c r="Y83" i="2"/>
  <c r="F27" i="2"/>
  <c r="H28" i="2"/>
  <c r="BI84" i="2"/>
  <c r="BI83" i="2"/>
  <c r="BD83" i="2"/>
  <c r="BD84" i="2"/>
  <c r="AY83" i="2"/>
  <c r="AY84" i="2"/>
  <c r="AX84" i="2"/>
  <c r="AX83" i="2"/>
  <c r="AO83" i="2"/>
  <c r="AO84" i="2"/>
  <c r="AN84" i="2"/>
  <c r="AN83" i="2"/>
  <c r="AI84" i="2"/>
  <c r="AI83" i="2"/>
  <c r="T55" i="2"/>
  <c r="S21" i="2"/>
  <c r="J3" i="2"/>
  <c r="K3" i="2" s="1"/>
  <c r="M3" i="2" s="1"/>
  <c r="N3" i="2" s="1"/>
  <c r="T80" i="2"/>
  <c r="V80" i="2" s="1"/>
  <c r="V60" i="2"/>
  <c r="O46" i="2"/>
  <c r="P46" i="2"/>
  <c r="E41" i="1"/>
  <c r="G41" i="1"/>
  <c r="G14" i="1"/>
  <c r="E14" i="1"/>
  <c r="H14" i="1"/>
  <c r="F14" i="1"/>
  <c r="AB64" i="2" l="1"/>
  <c r="Y35" i="6"/>
  <c r="Y35" i="8" s="1"/>
  <c r="AA33" i="6"/>
  <c r="AA33" i="8" s="1"/>
  <c r="H41" i="1"/>
  <c r="I33" i="5" s="1"/>
  <c r="Q16" i="1" s="1"/>
  <c r="X17" i="6"/>
  <c r="X17" i="8" s="1"/>
  <c r="X25" i="6"/>
  <c r="X25" i="8" s="1"/>
  <c r="Y26" i="6"/>
  <c r="Y26" i="8" s="1"/>
  <c r="AB35" i="6"/>
  <c r="AB35" i="8" s="1"/>
  <c r="Y28" i="6"/>
  <c r="Y28" i="8" s="1"/>
  <c r="Y21" i="6"/>
  <c r="Y21" i="8" s="1"/>
  <c r="AB27" i="6"/>
  <c r="AB27" i="8" s="1"/>
  <c r="AA27" i="8"/>
  <c r="Y39" i="6"/>
  <c r="Y39" i="8" s="1"/>
  <c r="X39" i="8"/>
  <c r="Y27" i="6"/>
  <c r="Y27" i="8" s="1"/>
  <c r="X27" i="8"/>
  <c r="AB36" i="6"/>
  <c r="AB36" i="8" s="1"/>
  <c r="AA36" i="8"/>
  <c r="Q284" i="6"/>
  <c r="Q284" i="8" s="1"/>
  <c r="H284" i="8"/>
  <c r="AB21" i="6"/>
  <c r="AB21" i="8" s="1"/>
  <c r="AA21" i="8"/>
  <c r="AB40" i="6"/>
  <c r="AB40" i="8" s="1"/>
  <c r="AA40" i="8"/>
  <c r="Y24" i="6"/>
  <c r="Y24" i="8" s="1"/>
  <c r="X24" i="8"/>
  <c r="Y36" i="6"/>
  <c r="Y36" i="8" s="1"/>
  <c r="X36" i="8"/>
  <c r="Y40" i="6"/>
  <c r="Y40" i="8" s="1"/>
  <c r="X40" i="8"/>
  <c r="AB26" i="6"/>
  <c r="AB26" i="8" s="1"/>
  <c r="AB39" i="6"/>
  <c r="AB39" i="8" s="1"/>
  <c r="AA39" i="8"/>
  <c r="AB24" i="6"/>
  <c r="AB24" i="8" s="1"/>
  <c r="AA24" i="8"/>
  <c r="AE84" i="5"/>
  <c r="AF84" i="5"/>
  <c r="AE72" i="5"/>
  <c r="AF72" i="5"/>
  <c r="AA25" i="6"/>
  <c r="AA25" i="8" s="1"/>
  <c r="X33" i="6"/>
  <c r="X33" i="8" s="1"/>
  <c r="O167" i="6"/>
  <c r="Q161" i="6"/>
  <c r="W22" i="2"/>
  <c r="Q70" i="5"/>
  <c r="O236" i="6"/>
  <c r="O236" i="8" s="1"/>
  <c r="U69" i="5"/>
  <c r="O306" i="6"/>
  <c r="O306" i="8" s="1"/>
  <c r="Y69" i="5"/>
  <c r="Q236" i="6"/>
  <c r="Q236" i="8" s="1"/>
  <c r="V69" i="5"/>
  <c r="O241" i="6"/>
  <c r="O241" i="8" s="1"/>
  <c r="U74" i="5"/>
  <c r="Q241" i="6"/>
  <c r="Q241" i="8" s="1"/>
  <c r="V74" i="5"/>
  <c r="X21" i="2"/>
  <c r="AB284" i="6"/>
  <c r="AB284" i="8" s="1"/>
  <c r="H354" i="6"/>
  <c r="R82" i="5"/>
  <c r="Q179" i="6"/>
  <c r="Q179" i="8" s="1"/>
  <c r="Q164" i="6"/>
  <c r="Q164" i="8" s="1"/>
  <c r="R67" i="5"/>
  <c r="O161" i="6"/>
  <c r="O161" i="8" s="1"/>
  <c r="Q64" i="5"/>
  <c r="R78" i="5"/>
  <c r="Q175" i="6"/>
  <c r="Q175" i="8" s="1"/>
  <c r="Q67" i="5"/>
  <c r="O164" i="6"/>
  <c r="O164" i="8" s="1"/>
  <c r="Q78" i="5"/>
  <c r="O175" i="6"/>
  <c r="O175" i="8" s="1"/>
  <c r="Q170" i="6"/>
  <c r="Q170" i="8" s="1"/>
  <c r="R73" i="5"/>
  <c r="Q83" i="5"/>
  <c r="O180" i="6"/>
  <c r="O180" i="8" s="1"/>
  <c r="O179" i="6"/>
  <c r="O179" i="8" s="1"/>
  <c r="Q82" i="5"/>
  <c r="O176" i="6"/>
  <c r="O176" i="8" s="1"/>
  <c r="Q79" i="5"/>
  <c r="R83" i="5"/>
  <c r="Q180" i="6"/>
  <c r="Q180" i="8" s="1"/>
  <c r="Q176" i="6"/>
  <c r="Q176" i="8" s="1"/>
  <c r="R79" i="5"/>
  <c r="R70" i="5"/>
  <c r="Q167" i="6"/>
  <c r="Q167" i="8" s="1"/>
  <c r="Y55" i="2"/>
  <c r="Y60" i="2"/>
  <c r="Y80" i="2" s="1"/>
  <c r="AA80" i="2" s="1"/>
  <c r="G354" i="6"/>
  <c r="W27" i="2"/>
  <c r="R65" i="5" s="1"/>
  <c r="V22" i="2"/>
  <c r="V27" i="2"/>
  <c r="Q65" i="5" s="1"/>
  <c r="W33" i="2"/>
  <c r="R71" i="5" s="1"/>
  <c r="W30" i="2"/>
  <c r="R68" i="5" s="1"/>
  <c r="V33" i="2"/>
  <c r="Q71" i="5" s="1"/>
  <c r="O170" i="6"/>
  <c r="O170" i="8" s="1"/>
  <c r="N55" i="5"/>
  <c r="N56" i="5"/>
  <c r="N57" i="5"/>
  <c r="AD18" i="2"/>
  <c r="AD60" i="2" s="1"/>
  <c r="Q103" i="6"/>
  <c r="Q103" i="8" s="1"/>
  <c r="AA19" i="2"/>
  <c r="Q98" i="6"/>
  <c r="Q98" i="8" s="1"/>
  <c r="Q41" i="6"/>
  <c r="H23" i="6"/>
  <c r="H66" i="5"/>
  <c r="AI61" i="5"/>
  <c r="AG61" i="5"/>
  <c r="O41" i="6"/>
  <c r="AB28" i="6"/>
  <c r="AB28" i="8" s="1"/>
  <c r="I84" i="2"/>
  <c r="V38" i="2"/>
  <c r="Q76" i="5" s="1"/>
  <c r="W38" i="2"/>
  <c r="R76" i="5" s="1"/>
  <c r="J84" i="2"/>
  <c r="Q95" i="6"/>
  <c r="Q95" i="8" s="1"/>
  <c r="O92" i="6"/>
  <c r="O92" i="8" s="1"/>
  <c r="O103" i="6"/>
  <c r="O103" i="8" s="1"/>
  <c r="O87" i="6"/>
  <c r="O87" i="8" s="1"/>
  <c r="O95" i="6"/>
  <c r="O95" i="8" s="1"/>
  <c r="Q87" i="6"/>
  <c r="Q87" i="8" s="1"/>
  <c r="N54" i="5"/>
  <c r="O51" i="5"/>
  <c r="AB71" i="2"/>
  <c r="AB74" i="2" s="1"/>
  <c r="AB75" i="2" s="1"/>
  <c r="AB77" i="2" s="1"/>
  <c r="AB85" i="2" s="1"/>
  <c r="Q270" i="6" s="1"/>
  <c r="Q270" i="8" s="1"/>
  <c r="V73" i="5"/>
  <c r="U73" i="5"/>
  <c r="Q92" i="6"/>
  <c r="Q92" i="8" s="1"/>
  <c r="O98" i="6"/>
  <c r="O98" i="8" s="1"/>
  <c r="Q46" i="2"/>
  <c r="AF67" i="2"/>
  <c r="AG65" i="2"/>
  <c r="AG67" i="2"/>
  <c r="AF65" i="2"/>
  <c r="AA71" i="2"/>
  <c r="AA74" i="2" s="1"/>
  <c r="AA75" i="2" s="1"/>
  <c r="AA77" i="2" s="1"/>
  <c r="AA85" i="2" s="1"/>
  <c r="P270" i="6" s="1"/>
  <c r="P270" i="8" s="1"/>
  <c r="H22" i="2"/>
  <c r="H20" i="6"/>
  <c r="H27" i="2"/>
  <c r="H65" i="5" s="1"/>
  <c r="F46" i="2"/>
  <c r="F84" i="2" s="1"/>
  <c r="L5" i="2"/>
  <c r="P83" i="2"/>
  <c r="O84" i="2"/>
  <c r="O83" i="2"/>
  <c r="O5" i="2"/>
  <c r="P3" i="2"/>
  <c r="Q3" i="2" s="1"/>
  <c r="P84" i="2"/>
  <c r="H55" i="1"/>
  <c r="AT68" i="2" l="1"/>
  <c r="AE68" i="2"/>
  <c r="P68" i="2"/>
  <c r="AY68" i="2"/>
  <c r="AO68" i="2"/>
  <c r="F68" i="2"/>
  <c r="F67" i="2" s="1"/>
  <c r="AJ68" i="2"/>
  <c r="BD68" i="2"/>
  <c r="Z68" i="2"/>
  <c r="BI68" i="2"/>
  <c r="U68" i="2"/>
  <c r="H56" i="1"/>
  <c r="AG64" i="2"/>
  <c r="AG71" i="2" s="1"/>
  <c r="AG74" i="2" s="1"/>
  <c r="AG75" i="2" s="1"/>
  <c r="AG77" i="2" s="1"/>
  <c r="AG85" i="2" s="1"/>
  <c r="Q340" i="6" s="1"/>
  <c r="Q340" i="8" s="1"/>
  <c r="AF64" i="2"/>
  <c r="AF71" i="2" s="1"/>
  <c r="AF74" i="2" s="1"/>
  <c r="AF75" i="2" s="1"/>
  <c r="AF77" i="2" s="1"/>
  <c r="AF85" i="2" s="1"/>
  <c r="P340" i="6" s="1"/>
  <c r="P340" i="8" s="1"/>
  <c r="Y17" i="6"/>
  <c r="Y17" i="8" s="1"/>
  <c r="Q14" i="1"/>
  <c r="H67" i="2" s="1"/>
  <c r="AB33" i="6"/>
  <c r="AB33" i="8" s="1"/>
  <c r="Y33" i="6"/>
  <c r="Y33" i="8" s="1"/>
  <c r="Y25" i="6"/>
  <c r="Y25" i="8" s="1"/>
  <c r="AB25" i="6"/>
  <c r="AB25" i="8" s="1"/>
  <c r="Q59" i="6"/>
  <c r="Q41" i="8"/>
  <c r="Q157" i="6"/>
  <c r="Q157" i="8" s="1"/>
  <c r="Q161" i="8"/>
  <c r="AA354" i="6"/>
  <c r="AA354" i="8" s="1"/>
  <c r="G354" i="8"/>
  <c r="O165" i="6"/>
  <c r="O165" i="8" s="1"/>
  <c r="O167" i="8"/>
  <c r="AA20" i="6"/>
  <c r="AA20" i="8" s="1"/>
  <c r="H20" i="8"/>
  <c r="P59" i="6"/>
  <c r="O41" i="8"/>
  <c r="AA23" i="6"/>
  <c r="AA23" i="8" s="1"/>
  <c r="H23" i="8"/>
  <c r="Q354" i="6"/>
  <c r="Q354" i="8" s="1"/>
  <c r="H354" i="8"/>
  <c r="AJ84" i="5"/>
  <c r="AI84" i="5"/>
  <c r="AI72" i="5"/>
  <c r="AJ72" i="5"/>
  <c r="AF19" i="2"/>
  <c r="AD55" i="2"/>
  <c r="AI18" i="2"/>
  <c r="AN18" i="2" s="1"/>
  <c r="AC21" i="2"/>
  <c r="AA60" i="2"/>
  <c r="Q306" i="6"/>
  <c r="Q306" i="8" s="1"/>
  <c r="Z69" i="5"/>
  <c r="Q311" i="6"/>
  <c r="Q311" i="8" s="1"/>
  <c r="Z74" i="5"/>
  <c r="O311" i="6"/>
  <c r="O311" i="8" s="1"/>
  <c r="Y74" i="5"/>
  <c r="H424" i="6"/>
  <c r="O173" i="6"/>
  <c r="O173" i="8" s="1"/>
  <c r="Q173" i="6"/>
  <c r="Q173" i="8" s="1"/>
  <c r="U70" i="5"/>
  <c r="O237" i="6"/>
  <c r="O237" i="8" s="1"/>
  <c r="Q245" i="6"/>
  <c r="Q245" i="8" s="1"/>
  <c r="V78" i="5"/>
  <c r="O249" i="6"/>
  <c r="O249" i="8" s="1"/>
  <c r="U82" i="5"/>
  <c r="Q237" i="6"/>
  <c r="Q237" i="8" s="1"/>
  <c r="V70" i="5"/>
  <c r="O234" i="6"/>
  <c r="O234" i="8" s="1"/>
  <c r="U67" i="5"/>
  <c r="U83" i="5"/>
  <c r="O250" i="6"/>
  <c r="O250" i="8" s="1"/>
  <c r="Q231" i="6"/>
  <c r="Q231" i="8" s="1"/>
  <c r="V64" i="5"/>
  <c r="Q249" i="6"/>
  <c r="Q249" i="8" s="1"/>
  <c r="V82" i="5"/>
  <c r="U64" i="5"/>
  <c r="O231" i="6"/>
  <c r="O231" i="8" s="1"/>
  <c r="Q234" i="6"/>
  <c r="Q234" i="8" s="1"/>
  <c r="V67" i="5"/>
  <c r="O246" i="6"/>
  <c r="O246" i="8" s="1"/>
  <c r="U79" i="5"/>
  <c r="O245" i="6"/>
  <c r="O245" i="8" s="1"/>
  <c r="U78" i="5"/>
  <c r="Q246" i="6"/>
  <c r="Q246" i="8" s="1"/>
  <c r="V79" i="5"/>
  <c r="Q250" i="6"/>
  <c r="Q250" i="8" s="1"/>
  <c r="V83" i="5"/>
  <c r="AA33" i="2"/>
  <c r="U71" i="5" s="1"/>
  <c r="O240" i="6"/>
  <c r="O240" i="8" s="1"/>
  <c r="AB30" i="2"/>
  <c r="V68" i="5" s="1"/>
  <c r="AB22" i="2"/>
  <c r="AB354" i="6"/>
  <c r="AB354" i="8" s="1"/>
  <c r="AA38" i="2"/>
  <c r="U76" i="5" s="1"/>
  <c r="G424" i="6"/>
  <c r="AB33" i="2"/>
  <c r="V71" i="5" s="1"/>
  <c r="Q240" i="6"/>
  <c r="Q240" i="8" s="1"/>
  <c r="AA27" i="2"/>
  <c r="U65" i="5" s="1"/>
  <c r="AA22" i="2"/>
  <c r="AA30" i="2"/>
  <c r="U68" i="5" s="1"/>
  <c r="AB27" i="2"/>
  <c r="V65" i="5" s="1"/>
  <c r="V46" i="2"/>
  <c r="V83" i="2" s="1"/>
  <c r="Q168" i="6"/>
  <c r="Q168" i="8" s="1"/>
  <c r="O162" i="6"/>
  <c r="O162" i="8" s="1"/>
  <c r="O157" i="6"/>
  <c r="O157" i="8" s="1"/>
  <c r="O168" i="6"/>
  <c r="O168" i="8" s="1"/>
  <c r="Q165" i="6"/>
  <c r="Q165" i="8" s="1"/>
  <c r="Q162" i="6"/>
  <c r="Q162" i="8" s="1"/>
  <c r="W46" i="2"/>
  <c r="W83" i="2" s="1"/>
  <c r="O55" i="5"/>
  <c r="O57" i="5"/>
  <c r="O56" i="5"/>
  <c r="AE55" i="2"/>
  <c r="AK61" i="5"/>
  <c r="AM61" i="5"/>
  <c r="AB38" i="2"/>
  <c r="V76" i="5" s="1"/>
  <c r="Y73" i="5"/>
  <c r="O54" i="5"/>
  <c r="P51" i="5"/>
  <c r="Q111" i="6"/>
  <c r="O111" i="6"/>
  <c r="Q83" i="2"/>
  <c r="Q84" i="2"/>
  <c r="Z73" i="5"/>
  <c r="AL67" i="2"/>
  <c r="AK67" i="2"/>
  <c r="AL65" i="2"/>
  <c r="AK65" i="2"/>
  <c r="H46" i="2"/>
  <c r="H84" i="2" s="1"/>
  <c r="H17" i="6"/>
  <c r="H17" i="8" s="1"/>
  <c r="H22" i="6"/>
  <c r="H22" i="8" s="1"/>
  <c r="AD80" i="2"/>
  <c r="AF80" i="2" s="1"/>
  <c r="AF60" i="2"/>
  <c r="S3" i="2"/>
  <c r="T3" i="2" s="1"/>
  <c r="R5" i="2"/>
  <c r="AL64" i="2" l="1"/>
  <c r="AK64" i="2"/>
  <c r="AK71" i="2" s="1"/>
  <c r="AK74" i="2" s="1"/>
  <c r="AK75" i="2" s="1"/>
  <c r="AK77" i="2" s="1"/>
  <c r="AK85" i="2" s="1"/>
  <c r="P410" i="6" s="1"/>
  <c r="P410" i="8" s="1"/>
  <c r="H68" i="2"/>
  <c r="J68" i="2"/>
  <c r="J67" i="2" s="1"/>
  <c r="P58" i="6"/>
  <c r="P58" i="8" s="1"/>
  <c r="P59" i="8"/>
  <c r="P129" i="6"/>
  <c r="P129" i="8" s="1"/>
  <c r="O111" i="8"/>
  <c r="Q129" i="6"/>
  <c r="Q129" i="8" s="1"/>
  <c r="Q111" i="8"/>
  <c r="Q65" i="6"/>
  <c r="AA424" i="6"/>
  <c r="AA424" i="8" s="1"/>
  <c r="G424" i="8"/>
  <c r="Q424" i="6"/>
  <c r="Q424" i="8" s="1"/>
  <c r="H424" i="8"/>
  <c r="Q58" i="6"/>
  <c r="Q58" i="8" s="1"/>
  <c r="Q59" i="8"/>
  <c r="AR84" i="5"/>
  <c r="AM84" i="5"/>
  <c r="AN84" i="5"/>
  <c r="AM72" i="5"/>
  <c r="AN72" i="5"/>
  <c r="AR72" i="5"/>
  <c r="AH21" i="2"/>
  <c r="AJ55" i="2"/>
  <c r="AK19" i="2"/>
  <c r="AI60" i="2"/>
  <c r="AK60" i="2" s="1"/>
  <c r="AM21" i="2"/>
  <c r="AO55" i="2"/>
  <c r="AI55" i="2"/>
  <c r="AD69" i="5"/>
  <c r="Q376" i="6"/>
  <c r="Q376" i="8" s="1"/>
  <c r="O376" i="6"/>
  <c r="O376" i="8" s="1"/>
  <c r="AC69" i="5"/>
  <c r="AC74" i="5"/>
  <c r="O381" i="6"/>
  <c r="O381" i="8" s="1"/>
  <c r="Q381" i="6"/>
  <c r="Q381" i="8" s="1"/>
  <c r="AD74" i="5"/>
  <c r="H494" i="6"/>
  <c r="Q243" i="6"/>
  <c r="Q243" i="8" s="1"/>
  <c r="Z79" i="5"/>
  <c r="Q316" i="6"/>
  <c r="Q316" i="8" s="1"/>
  <c r="O320" i="6"/>
  <c r="O320" i="8" s="1"/>
  <c r="Y83" i="5"/>
  <c r="Q319" i="6"/>
  <c r="Q319" i="8" s="1"/>
  <c r="Z82" i="5"/>
  <c r="O304" i="6"/>
  <c r="O304" i="8" s="1"/>
  <c r="Y67" i="5"/>
  <c r="Q315" i="6"/>
  <c r="Q315" i="8" s="1"/>
  <c r="Z78" i="5"/>
  <c r="Z83" i="5"/>
  <c r="Q320" i="6"/>
  <c r="Q320" i="8" s="1"/>
  <c r="O307" i="6"/>
  <c r="O307" i="8" s="1"/>
  <c r="Y70" i="5"/>
  <c r="O319" i="6"/>
  <c r="O319" i="8" s="1"/>
  <c r="Y82" i="5"/>
  <c r="AA46" i="2"/>
  <c r="AA84" i="2" s="1"/>
  <c r="Z67" i="5"/>
  <c r="Q304" i="6"/>
  <c r="Q304" i="8" s="1"/>
  <c r="Z70" i="5"/>
  <c r="Q307" i="6"/>
  <c r="Q307" i="8" s="1"/>
  <c r="O301" i="6"/>
  <c r="O301" i="8" s="1"/>
  <c r="Y64" i="5"/>
  <c r="Z64" i="5"/>
  <c r="Q301" i="6"/>
  <c r="Q301" i="8" s="1"/>
  <c r="O316" i="6"/>
  <c r="O316" i="8" s="1"/>
  <c r="Y79" i="5"/>
  <c r="Y78" i="5"/>
  <c r="O315" i="6"/>
  <c r="O315" i="8" s="1"/>
  <c r="AB424" i="6"/>
  <c r="AB424" i="8" s="1"/>
  <c r="AG33" i="2"/>
  <c r="Z71" i="5" s="1"/>
  <c r="Q310" i="6"/>
  <c r="Q310" i="8" s="1"/>
  <c r="G494" i="6"/>
  <c r="O235" i="6"/>
  <c r="O235" i="8" s="1"/>
  <c r="O232" i="6"/>
  <c r="O232" i="8" s="1"/>
  <c r="AG27" i="2"/>
  <c r="Z65" i="5" s="1"/>
  <c r="AF33" i="2"/>
  <c r="Y71" i="5" s="1"/>
  <c r="O310" i="6"/>
  <c r="O310" i="8" s="1"/>
  <c r="O243" i="6"/>
  <c r="O243" i="8" s="1"/>
  <c r="Q227" i="6"/>
  <c r="Q227" i="8" s="1"/>
  <c r="O238" i="6"/>
  <c r="O238" i="8" s="1"/>
  <c r="AF30" i="2"/>
  <c r="Y68" i="5" s="1"/>
  <c r="Q235" i="6"/>
  <c r="Q235" i="8" s="1"/>
  <c r="AG22" i="2"/>
  <c r="AB46" i="2"/>
  <c r="AB83" i="2" s="1"/>
  <c r="AG30" i="2"/>
  <c r="Z68" i="5" s="1"/>
  <c r="AF22" i="2"/>
  <c r="AF27" i="2"/>
  <c r="Y65" i="5" s="1"/>
  <c r="V84" i="2"/>
  <c r="V88" i="2" s="1"/>
  <c r="V90" i="2" s="1"/>
  <c r="V91" i="2" s="1"/>
  <c r="Q232" i="6"/>
  <c r="Q232" i="8" s="1"/>
  <c r="O227" i="6"/>
  <c r="O227" i="8" s="1"/>
  <c r="Q238" i="6"/>
  <c r="Q238" i="8" s="1"/>
  <c r="W84" i="2"/>
  <c r="W88" i="2" s="1"/>
  <c r="W90" i="2" s="1"/>
  <c r="W91" i="2" s="1"/>
  <c r="P55" i="5"/>
  <c r="P57" i="5"/>
  <c r="P56" i="5"/>
  <c r="AQ61" i="5"/>
  <c r="AO61" i="5"/>
  <c r="AQ67" i="2"/>
  <c r="AQ65" i="2"/>
  <c r="AP67" i="2"/>
  <c r="AP65" i="2"/>
  <c r="AG38" i="2"/>
  <c r="Z76" i="5" s="1"/>
  <c r="P54" i="5"/>
  <c r="Q51" i="5"/>
  <c r="AC73" i="5"/>
  <c r="AD73" i="5"/>
  <c r="Q86" i="2"/>
  <c r="Q88" i="2"/>
  <c r="Q90" i="2" s="1"/>
  <c r="Q91" i="2" s="1"/>
  <c r="Q128" i="6"/>
  <c r="Q128" i="8" s="1"/>
  <c r="AF38" i="2"/>
  <c r="Y76" i="5" s="1"/>
  <c r="AL71" i="2"/>
  <c r="AL74" i="2" s="1"/>
  <c r="AL75" i="2" s="1"/>
  <c r="AL77" i="2" s="1"/>
  <c r="AL85" i="2" s="1"/>
  <c r="Q410" i="6" s="1"/>
  <c r="Q410" i="8" s="1"/>
  <c r="H83" i="2"/>
  <c r="AB20" i="6"/>
  <c r="AB20" i="8" s="1"/>
  <c r="AA17" i="6"/>
  <c r="AA17" i="8" s="1"/>
  <c r="AB23" i="6"/>
  <c r="AB23" i="8" s="1"/>
  <c r="AA22" i="6"/>
  <c r="AA22" i="8" s="1"/>
  <c r="H41" i="6"/>
  <c r="AN55" i="2"/>
  <c r="AP19" i="2"/>
  <c r="AS18" i="2"/>
  <c r="AS55" i="2" s="1"/>
  <c r="AN60" i="2"/>
  <c r="AP60" i="2" s="1"/>
  <c r="U5" i="2"/>
  <c r="V3" i="2"/>
  <c r="W3" i="2" s="1"/>
  <c r="AP64" i="2" l="1"/>
  <c r="AQ64" i="2"/>
  <c r="AQ71" i="2" s="1"/>
  <c r="AQ74" i="2" s="1"/>
  <c r="AQ75" i="2" s="1"/>
  <c r="AQ77" i="2" s="1"/>
  <c r="AQ85" i="2" s="1"/>
  <c r="Q480" i="6" s="1"/>
  <c r="Q480" i="8" s="1"/>
  <c r="P131" i="6"/>
  <c r="P131" i="8" s="1"/>
  <c r="Q133" i="6"/>
  <c r="Q133" i="8" s="1"/>
  <c r="P128" i="6"/>
  <c r="P128" i="8" s="1"/>
  <c r="P133" i="6"/>
  <c r="P133" i="8" s="1"/>
  <c r="Q135" i="6"/>
  <c r="AA494" i="6"/>
  <c r="AA494" i="8" s="1"/>
  <c r="G494" i="8"/>
  <c r="Q66" i="6"/>
  <c r="Q66" i="8" s="1"/>
  <c r="Q65" i="8"/>
  <c r="Q131" i="6"/>
  <c r="Q131" i="8" s="1"/>
  <c r="Q494" i="6"/>
  <c r="Q494" i="8" s="1"/>
  <c r="H494" i="8"/>
  <c r="H59" i="6"/>
  <c r="H59" i="8" s="1"/>
  <c r="H41" i="8"/>
  <c r="AI80" i="2"/>
  <c r="AK80" i="2" s="1"/>
  <c r="O446" i="6"/>
  <c r="O446" i="8" s="1"/>
  <c r="AG69" i="5"/>
  <c r="Q446" i="6"/>
  <c r="Q446" i="8" s="1"/>
  <c r="AH69" i="5"/>
  <c r="AH74" i="5"/>
  <c r="Q451" i="6"/>
  <c r="Q451" i="8" s="1"/>
  <c r="O447" i="6"/>
  <c r="O447" i="8" s="1"/>
  <c r="AH70" i="5"/>
  <c r="O451" i="6"/>
  <c r="O451" i="8" s="1"/>
  <c r="AG74" i="5"/>
  <c r="H564" i="6"/>
  <c r="AA83" i="2"/>
  <c r="O313" i="6"/>
  <c r="O313" i="8" s="1"/>
  <c r="Q313" i="6"/>
  <c r="Q313" i="8" s="1"/>
  <c r="AD67" i="5"/>
  <c r="Q374" i="6"/>
  <c r="Q374" i="8" s="1"/>
  <c r="O386" i="6"/>
  <c r="O386" i="8" s="1"/>
  <c r="AC79" i="5"/>
  <c r="AD83" i="5"/>
  <c r="Q390" i="6"/>
  <c r="Q390" i="8" s="1"/>
  <c r="AC83" i="5"/>
  <c r="O390" i="6"/>
  <c r="O390" i="8" s="1"/>
  <c r="O377" i="6"/>
  <c r="O377" i="8" s="1"/>
  <c r="AC70" i="5"/>
  <c r="Q389" i="6"/>
  <c r="Q389" i="8" s="1"/>
  <c r="AD82" i="5"/>
  <c r="AD79" i="5"/>
  <c r="Q386" i="6"/>
  <c r="Q386" i="8" s="1"/>
  <c r="O374" i="6"/>
  <c r="O374" i="8" s="1"/>
  <c r="AC67" i="5"/>
  <c r="Q385" i="6"/>
  <c r="Q385" i="8" s="1"/>
  <c r="AD78" i="5"/>
  <c r="O371" i="6"/>
  <c r="O371" i="8" s="1"/>
  <c r="AC64" i="5"/>
  <c r="AD64" i="5"/>
  <c r="Q371" i="6"/>
  <c r="Q371" i="8" s="1"/>
  <c r="AD70" i="5"/>
  <c r="Q377" i="6"/>
  <c r="Q377" i="8" s="1"/>
  <c r="AC82" i="5"/>
  <c r="O389" i="6"/>
  <c r="O389" i="8" s="1"/>
  <c r="O385" i="6"/>
  <c r="O385" i="8" s="1"/>
  <c r="AC78" i="5"/>
  <c r="V86" i="2"/>
  <c r="AF46" i="2"/>
  <c r="AF83" i="2" s="1"/>
  <c r="AB84" i="2"/>
  <c r="AB86" i="2" s="1"/>
  <c r="Q297" i="6"/>
  <c r="Q297" i="8" s="1"/>
  <c r="O305" i="6"/>
  <c r="O305" i="8" s="1"/>
  <c r="O308" i="6"/>
  <c r="O308" i="8" s="1"/>
  <c r="O297" i="6"/>
  <c r="O297" i="8" s="1"/>
  <c r="AK27" i="2"/>
  <c r="AC65" i="5" s="1"/>
  <c r="AK33" i="2"/>
  <c r="AC71" i="5" s="1"/>
  <c r="O380" i="6"/>
  <c r="O380" i="8" s="1"/>
  <c r="G564" i="6"/>
  <c r="Q302" i="6"/>
  <c r="Q302" i="8" s="1"/>
  <c r="Q308" i="6"/>
  <c r="Q308" i="8" s="1"/>
  <c r="AL22" i="2"/>
  <c r="AL30" i="2"/>
  <c r="AD68" i="5" s="1"/>
  <c r="AL33" i="2"/>
  <c r="AD71" i="5" s="1"/>
  <c r="Q380" i="6"/>
  <c r="Q380" i="8" s="1"/>
  <c r="AK30" i="2"/>
  <c r="AC68" i="5" s="1"/>
  <c r="AL27" i="2"/>
  <c r="AD65" i="5" s="1"/>
  <c r="AK22" i="2"/>
  <c r="AG46" i="2"/>
  <c r="AG84" i="2" s="1"/>
  <c r="O302" i="6"/>
  <c r="O302" i="8" s="1"/>
  <c r="Q305" i="6"/>
  <c r="Q305" i="8" s="1"/>
  <c r="AB494" i="6"/>
  <c r="AB494" i="8" s="1"/>
  <c r="W86" i="2"/>
  <c r="Q55" i="5"/>
  <c r="Q56" i="5"/>
  <c r="Q57" i="5"/>
  <c r="AG73" i="5"/>
  <c r="AS61" i="5"/>
  <c r="AU61" i="5"/>
  <c r="AH73" i="5"/>
  <c r="AP71" i="2"/>
  <c r="AP74" i="2" s="1"/>
  <c r="AP75" i="2" s="1"/>
  <c r="AP77" i="2" s="1"/>
  <c r="AP85" i="2" s="1"/>
  <c r="P480" i="6" s="1"/>
  <c r="P480" i="8" s="1"/>
  <c r="AU65" i="2"/>
  <c r="AU67" i="2"/>
  <c r="AV65" i="2"/>
  <c r="AV67" i="2"/>
  <c r="AA86" i="2"/>
  <c r="AA88" i="2"/>
  <c r="AA90" i="2" s="1"/>
  <c r="AA91" i="2" s="1"/>
  <c r="AL38" i="2"/>
  <c r="AD76" i="5" s="1"/>
  <c r="AK38" i="2"/>
  <c r="AC76" i="5" s="1"/>
  <c r="Q54" i="5"/>
  <c r="R51" i="5"/>
  <c r="AA41" i="6"/>
  <c r="AH40" i="6" s="1"/>
  <c r="AB22" i="6"/>
  <c r="AB22" i="8" s="1"/>
  <c r="AB17" i="6"/>
  <c r="AB17" i="8" s="1"/>
  <c r="AN80" i="2"/>
  <c r="AP80" i="2" s="1"/>
  <c r="AT55" i="2"/>
  <c r="AX18" i="2"/>
  <c r="AX60" i="2" s="1"/>
  <c r="AS60" i="2"/>
  <c r="AR21" i="2"/>
  <c r="AU19" i="2"/>
  <c r="X5" i="2"/>
  <c r="Y3" i="2"/>
  <c r="Z3" i="2" s="1"/>
  <c r="AV64" i="2" l="1"/>
  <c r="AV71" i="2" s="1"/>
  <c r="AV74" i="2" s="1"/>
  <c r="AV75" i="2" s="1"/>
  <c r="AV77" i="2" s="1"/>
  <c r="AV85" i="2" s="1"/>
  <c r="Q550" i="6" s="1"/>
  <c r="Q550" i="8" s="1"/>
  <c r="AU64" i="2"/>
  <c r="AU71" i="2" s="1"/>
  <c r="AU74" i="2" s="1"/>
  <c r="AU75" i="2" s="1"/>
  <c r="AU77" i="2" s="1"/>
  <c r="AU85" i="2" s="1"/>
  <c r="P550" i="6" s="1"/>
  <c r="P550" i="8" s="1"/>
  <c r="H58" i="6"/>
  <c r="H58" i="8" s="1"/>
  <c r="P135" i="6"/>
  <c r="P136" i="6" s="1"/>
  <c r="P136" i="8" s="1"/>
  <c r="K33" i="5"/>
  <c r="AA41" i="8"/>
  <c r="AA564" i="6"/>
  <c r="AA564" i="8" s="1"/>
  <c r="G564" i="8"/>
  <c r="Q564" i="6"/>
  <c r="Q564" i="8" s="1"/>
  <c r="H564" i="8"/>
  <c r="Q136" i="6"/>
  <c r="Q136" i="8" s="1"/>
  <c r="Q135" i="8"/>
  <c r="AW61" i="5"/>
  <c r="AQ30" i="2"/>
  <c r="AH68" i="5" s="1"/>
  <c r="Q447" i="6"/>
  <c r="AP30" i="2"/>
  <c r="AG68" i="5" s="1"/>
  <c r="AG70" i="5"/>
  <c r="Q516" i="6"/>
  <c r="Q516" i="8" s="1"/>
  <c r="AL69" i="5"/>
  <c r="AK69" i="5"/>
  <c r="O516" i="6"/>
  <c r="O516" i="8" s="1"/>
  <c r="O521" i="6"/>
  <c r="O521" i="8" s="1"/>
  <c r="AK74" i="5"/>
  <c r="AL74" i="5"/>
  <c r="Q521" i="6"/>
  <c r="Q521" i="8" s="1"/>
  <c r="H634" i="6"/>
  <c r="AF84" i="2"/>
  <c r="AF86" i="2" s="1"/>
  <c r="AG83" i="2"/>
  <c r="O383" i="6"/>
  <c r="O383" i="8" s="1"/>
  <c r="Q383" i="6"/>
  <c r="Q383" i="8" s="1"/>
  <c r="O441" i="6"/>
  <c r="O441" i="8" s="1"/>
  <c r="AG64" i="5"/>
  <c r="Q459" i="6"/>
  <c r="Q459" i="8" s="1"/>
  <c r="AH82" i="5"/>
  <c r="Q441" i="6"/>
  <c r="Q441" i="8" s="1"/>
  <c r="AH64" i="5"/>
  <c r="AG83" i="5"/>
  <c r="O460" i="6"/>
  <c r="O460" i="8" s="1"/>
  <c r="Q460" i="6"/>
  <c r="Q460" i="8" s="1"/>
  <c r="AH83" i="5"/>
  <c r="AG79" i="5"/>
  <c r="O456" i="6"/>
  <c r="O456" i="8" s="1"/>
  <c r="O459" i="6"/>
  <c r="O459" i="8" s="1"/>
  <c r="AG82" i="5"/>
  <c r="Q456" i="6"/>
  <c r="Q456" i="8" s="1"/>
  <c r="AH79" i="5"/>
  <c r="AH78" i="5"/>
  <c r="Q455" i="6"/>
  <c r="Q455" i="8" s="1"/>
  <c r="AH67" i="5"/>
  <c r="Q444" i="6"/>
  <c r="Q444" i="8" s="1"/>
  <c r="O444" i="6"/>
  <c r="O444" i="8" s="1"/>
  <c r="AG67" i="5"/>
  <c r="O455" i="6"/>
  <c r="O455" i="8" s="1"/>
  <c r="AG78" i="5"/>
  <c r="AB88" i="2"/>
  <c r="AB90" i="2" s="1"/>
  <c r="AB91" i="2" s="1"/>
  <c r="AK46" i="2"/>
  <c r="AK84" i="2" s="1"/>
  <c r="AB564" i="6"/>
  <c r="AB564" i="8" s="1"/>
  <c r="O375" i="6"/>
  <c r="O375" i="8" s="1"/>
  <c r="Q367" i="6"/>
  <c r="Q367" i="8" s="1"/>
  <c r="AQ27" i="2"/>
  <c r="AH65" i="5" s="1"/>
  <c r="AP27" i="2"/>
  <c r="AG65" i="5" s="1"/>
  <c r="AL46" i="2"/>
  <c r="AL83" i="2" s="1"/>
  <c r="AQ33" i="2"/>
  <c r="AH71" i="5" s="1"/>
  <c r="AP22" i="2"/>
  <c r="O367" i="6"/>
  <c r="O367" i="8" s="1"/>
  <c r="Q378" i="6"/>
  <c r="Q378" i="8" s="1"/>
  <c r="Q375" i="6"/>
  <c r="Q375" i="8" s="1"/>
  <c r="O378" i="6"/>
  <c r="O378" i="8" s="1"/>
  <c r="O445" i="6"/>
  <c r="O445" i="8" s="1"/>
  <c r="AQ22" i="2"/>
  <c r="G634" i="6"/>
  <c r="Q372" i="6"/>
  <c r="Q372" i="8" s="1"/>
  <c r="O372" i="6"/>
  <c r="O372" i="8" s="1"/>
  <c r="AP33" i="2"/>
  <c r="AG71" i="5" s="1"/>
  <c r="O450" i="6"/>
  <c r="O450" i="8" s="1"/>
  <c r="R55" i="5"/>
  <c r="R56" i="5"/>
  <c r="R57" i="5"/>
  <c r="AX55" i="2"/>
  <c r="AP38" i="2"/>
  <c r="AG76" i="5" s="1"/>
  <c r="AB59" i="6"/>
  <c r="AB59" i="8" s="1"/>
  <c r="AQ38" i="2"/>
  <c r="AH76" i="5" s="1"/>
  <c r="AB41" i="6"/>
  <c r="AB41" i="8" s="1"/>
  <c r="AL73" i="5"/>
  <c r="R54" i="5"/>
  <c r="BA65" i="2"/>
  <c r="AZ67" i="2"/>
  <c r="BA67" i="2"/>
  <c r="AZ65" i="2"/>
  <c r="AK73" i="5"/>
  <c r="AG88" i="2"/>
  <c r="AG90" i="2" s="1"/>
  <c r="AG91" i="2" s="1"/>
  <c r="AG86" i="2"/>
  <c r="BC18" i="2"/>
  <c r="BC60" i="2" s="1"/>
  <c r="BE60" i="2" s="1"/>
  <c r="AZ19" i="2"/>
  <c r="AW21" i="2"/>
  <c r="AY55" i="2"/>
  <c r="AU60" i="2"/>
  <c r="AS80" i="2"/>
  <c r="AU80" i="2" s="1"/>
  <c r="AZ60" i="2"/>
  <c r="AX80" i="2"/>
  <c r="AZ80" i="2" s="1"/>
  <c r="BE19" i="2"/>
  <c r="AA5" i="2"/>
  <c r="AB3" i="2"/>
  <c r="AC3" i="2" s="1"/>
  <c r="BA64" i="2" l="1"/>
  <c r="BA71" i="2" s="1"/>
  <c r="BA74" i="2" s="1"/>
  <c r="BA75" i="2" s="1"/>
  <c r="BA77" i="2" s="1"/>
  <c r="BA85" i="2" s="1"/>
  <c r="AZ64" i="2"/>
  <c r="AZ71" i="2" s="1"/>
  <c r="AZ74" i="2" s="1"/>
  <c r="AZ75" i="2" s="1"/>
  <c r="AZ77" i="2" s="1"/>
  <c r="AZ85" i="2" s="1"/>
  <c r="P135" i="8"/>
  <c r="Q445" i="6"/>
  <c r="Q445" i="8" s="1"/>
  <c r="Q447" i="8"/>
  <c r="Q634" i="6"/>
  <c r="Q634" i="8" s="1"/>
  <c r="H634" i="8"/>
  <c r="AA634" i="6"/>
  <c r="AA634" i="8" s="1"/>
  <c r="G634" i="8"/>
  <c r="AO69" i="5"/>
  <c r="O586" i="6"/>
  <c r="O586" i="8" s="1"/>
  <c r="Q586" i="6"/>
  <c r="Q586" i="8" s="1"/>
  <c r="AP69" i="5"/>
  <c r="Q591" i="6"/>
  <c r="Q591" i="8" s="1"/>
  <c r="AP74" i="5"/>
  <c r="AO74" i="5"/>
  <c r="O591" i="6"/>
  <c r="O591" i="8" s="1"/>
  <c r="H704" i="6"/>
  <c r="AK83" i="2"/>
  <c r="AF88" i="2"/>
  <c r="AF90" i="2" s="1"/>
  <c r="AF91" i="2" s="1"/>
  <c r="O453" i="6"/>
  <c r="O453" i="8" s="1"/>
  <c r="Q453" i="6"/>
  <c r="Q453" i="8" s="1"/>
  <c r="O511" i="6"/>
  <c r="O511" i="8" s="1"/>
  <c r="AK64" i="5"/>
  <c r="Q530" i="6"/>
  <c r="Q530" i="8" s="1"/>
  <c r="AL83" i="5"/>
  <c r="AK78" i="5"/>
  <c r="O525" i="6"/>
  <c r="O525" i="8" s="1"/>
  <c r="Q514" i="6"/>
  <c r="Q514" i="8" s="1"/>
  <c r="AL67" i="5"/>
  <c r="O526" i="6"/>
  <c r="O526" i="8" s="1"/>
  <c r="AK79" i="5"/>
  <c r="AL78" i="5"/>
  <c r="Q525" i="6"/>
  <c r="Q525" i="8" s="1"/>
  <c r="AK83" i="5"/>
  <c r="O530" i="6"/>
  <c r="O530" i="8" s="1"/>
  <c r="Q526" i="6"/>
  <c r="Q526" i="8" s="1"/>
  <c r="AL79" i="5"/>
  <c r="O529" i="6"/>
  <c r="O529" i="8" s="1"/>
  <c r="AK82" i="5"/>
  <c r="AL70" i="5"/>
  <c r="Q517" i="6"/>
  <c r="Q517" i="8" s="1"/>
  <c r="AK70" i="5"/>
  <c r="O517" i="6"/>
  <c r="O517" i="8" s="1"/>
  <c r="O514" i="6"/>
  <c r="O514" i="8" s="1"/>
  <c r="AK67" i="5"/>
  <c r="AL82" i="5"/>
  <c r="Q529" i="6"/>
  <c r="Q529" i="8" s="1"/>
  <c r="Q511" i="6"/>
  <c r="Q511" i="8" s="1"/>
  <c r="AL64" i="5"/>
  <c r="AL84" i="2"/>
  <c r="AL86" i="2" s="1"/>
  <c r="Q437" i="6"/>
  <c r="Q437" i="8" s="1"/>
  <c r="Q442" i="6"/>
  <c r="Q442" i="8" s="1"/>
  <c r="AV30" i="2"/>
  <c r="AL68" i="5" s="1"/>
  <c r="G704" i="6"/>
  <c r="AU33" i="2"/>
  <c r="AK71" i="5" s="1"/>
  <c r="O520" i="6"/>
  <c r="O520" i="8" s="1"/>
  <c r="AV33" i="2"/>
  <c r="AL71" i="5" s="1"/>
  <c r="Q520" i="6"/>
  <c r="Q520" i="8" s="1"/>
  <c r="AP46" i="2"/>
  <c r="AP84" i="2" s="1"/>
  <c r="AP88" i="2" s="1"/>
  <c r="AP90" i="2" s="1"/>
  <c r="AP91" i="2" s="1"/>
  <c r="AB634" i="6"/>
  <c r="AB634" i="8" s="1"/>
  <c r="O442" i="6"/>
  <c r="O442" i="8" s="1"/>
  <c r="AU22" i="2"/>
  <c r="AV27" i="2"/>
  <c r="AL65" i="5" s="1"/>
  <c r="O437" i="6"/>
  <c r="O437" i="8" s="1"/>
  <c r="AU30" i="2"/>
  <c r="AK68" i="5" s="1"/>
  <c r="AU27" i="2"/>
  <c r="AK65" i="5" s="1"/>
  <c r="AV22" i="2"/>
  <c r="AQ46" i="2"/>
  <c r="AQ83" i="2" s="1"/>
  <c r="O448" i="6"/>
  <c r="O448" i="8" s="1"/>
  <c r="Q448" i="6"/>
  <c r="Q448" i="8" s="1"/>
  <c r="AB58" i="6"/>
  <c r="AB58" i="8" s="1"/>
  <c r="BF67" i="2"/>
  <c r="BF65" i="2"/>
  <c r="BE67" i="2"/>
  <c r="BE65" i="2"/>
  <c r="BE64" i="2" s="1"/>
  <c r="AO73" i="5"/>
  <c r="AK88" i="2"/>
  <c r="AK90" i="2" s="1"/>
  <c r="AK91" i="2" s="1"/>
  <c r="AK86" i="2"/>
  <c r="AU38" i="2"/>
  <c r="AK76" i="5" s="1"/>
  <c r="AP73" i="5"/>
  <c r="AV38" i="2"/>
  <c r="AL76" i="5" s="1"/>
  <c r="BC55" i="2"/>
  <c r="BB21" i="2"/>
  <c r="BH18" i="2"/>
  <c r="BH60" i="2" s="1"/>
  <c r="BH80" i="2" s="1"/>
  <c r="BJ80" i="2" s="1"/>
  <c r="BC80" i="2"/>
  <c r="BE80" i="2" s="1"/>
  <c r="BD55" i="2"/>
  <c r="AD5" i="2"/>
  <c r="AE3" i="2"/>
  <c r="AF3" i="2" s="1"/>
  <c r="BF64" i="2" l="1"/>
  <c r="BF71" i="2" s="1"/>
  <c r="BF74" i="2" s="1"/>
  <c r="BF75" i="2" s="1"/>
  <c r="BF77" i="2" s="1"/>
  <c r="BF85" i="2" s="1"/>
  <c r="Q690" i="6" s="1"/>
  <c r="Q690" i="8" s="1"/>
  <c r="Q704" i="6"/>
  <c r="Q704" i="8" s="1"/>
  <c r="H704" i="8"/>
  <c r="AA704" i="6"/>
  <c r="AA704" i="8" s="1"/>
  <c r="G704" i="8"/>
  <c r="Q661" i="6"/>
  <c r="Q661" i="8" s="1"/>
  <c r="AT74" i="5"/>
  <c r="O666" i="6"/>
  <c r="O666" i="8" s="1"/>
  <c r="O661" i="6"/>
  <c r="O661" i="8" s="1"/>
  <c r="AS74" i="5"/>
  <c r="AT73" i="5"/>
  <c r="AL88" i="2"/>
  <c r="AL90" i="2" s="1"/>
  <c r="AL91" i="2" s="1"/>
  <c r="AQ84" i="2"/>
  <c r="AQ86" i="2" s="1"/>
  <c r="AP83" i="2"/>
  <c r="O523" i="6"/>
  <c r="O523" i="8" s="1"/>
  <c r="AP86" i="2"/>
  <c r="Q523" i="6"/>
  <c r="Q523" i="8" s="1"/>
  <c r="Q600" i="6"/>
  <c r="Q600" i="8" s="1"/>
  <c r="AP83" i="5"/>
  <c r="Q596" i="6"/>
  <c r="Q596" i="8" s="1"/>
  <c r="AP79" i="5"/>
  <c r="Q587" i="6"/>
  <c r="Q587" i="8" s="1"/>
  <c r="AP70" i="5"/>
  <c r="O600" i="6"/>
  <c r="O600" i="8" s="1"/>
  <c r="AO83" i="5"/>
  <c r="Q599" i="6"/>
  <c r="Q599" i="8" s="1"/>
  <c r="AP82" i="5"/>
  <c r="Q584" i="6"/>
  <c r="Q584" i="8" s="1"/>
  <c r="AP67" i="5"/>
  <c r="O596" i="6"/>
  <c r="O596" i="8" s="1"/>
  <c r="AO79" i="5"/>
  <c r="O584" i="6"/>
  <c r="O584" i="8" s="1"/>
  <c r="AO67" i="5"/>
  <c r="Q581" i="6"/>
  <c r="Q581" i="8" s="1"/>
  <c r="AP64" i="5"/>
  <c r="O595" i="6"/>
  <c r="O595" i="8" s="1"/>
  <c r="AO78" i="5"/>
  <c r="AO64" i="5"/>
  <c r="O581" i="6"/>
  <c r="O581" i="8" s="1"/>
  <c r="Q595" i="6"/>
  <c r="Q595" i="8" s="1"/>
  <c r="AP78" i="5"/>
  <c r="AO82" i="5"/>
  <c r="O599" i="6"/>
  <c r="O599" i="8" s="1"/>
  <c r="O587" i="6"/>
  <c r="O587" i="8" s="1"/>
  <c r="AO70" i="5"/>
  <c r="AV46" i="2"/>
  <c r="AV84" i="2" s="1"/>
  <c r="BF33" i="2"/>
  <c r="AT71" i="5" s="1"/>
  <c r="Q507" i="6"/>
  <c r="Q507" i="8" s="1"/>
  <c r="Q515" i="6"/>
  <c r="Q515" i="8" s="1"/>
  <c r="AZ22" i="2"/>
  <c r="Q518" i="6"/>
  <c r="Q518" i="8" s="1"/>
  <c r="BA33" i="2"/>
  <c r="AP71" i="5" s="1"/>
  <c r="Q590" i="6"/>
  <c r="Q590" i="8" s="1"/>
  <c r="AZ30" i="2"/>
  <c r="AO68" i="5" s="1"/>
  <c r="O512" i="6"/>
  <c r="O512" i="8" s="1"/>
  <c r="Q512" i="6"/>
  <c r="Q512" i="8" s="1"/>
  <c r="BA27" i="2"/>
  <c r="AP65" i="5" s="1"/>
  <c r="AZ27" i="2"/>
  <c r="AO65" i="5" s="1"/>
  <c r="O515" i="6"/>
  <c r="O515" i="8" s="1"/>
  <c r="O507" i="6"/>
  <c r="O507" i="8" s="1"/>
  <c r="BA22" i="2"/>
  <c r="AU46" i="2"/>
  <c r="AU83" i="2" s="1"/>
  <c r="BA30" i="2"/>
  <c r="AP68" i="5" s="1"/>
  <c r="AZ33" i="2"/>
  <c r="AO71" i="5" s="1"/>
  <c r="O590" i="6"/>
  <c r="O590" i="8" s="1"/>
  <c r="O518" i="6"/>
  <c r="O518" i="8" s="1"/>
  <c r="AB704" i="6"/>
  <c r="AB704" i="8" s="1"/>
  <c r="BJ60" i="2"/>
  <c r="BH55" i="2"/>
  <c r="BL36" i="2" s="1"/>
  <c r="AU74" i="5" s="1"/>
  <c r="BJ19" i="2"/>
  <c r="AS73" i="5"/>
  <c r="BE71" i="2"/>
  <c r="BE74" i="2" s="1"/>
  <c r="BE75" i="2" s="1"/>
  <c r="BE77" i="2" s="1"/>
  <c r="BE85" i="2" s="1"/>
  <c r="P690" i="6" s="1"/>
  <c r="P690" i="8" s="1"/>
  <c r="AZ38" i="2"/>
  <c r="AO76" i="5" s="1"/>
  <c r="BA38" i="2"/>
  <c r="AP76" i="5" s="1"/>
  <c r="BK67" i="2"/>
  <c r="BJ65" i="2"/>
  <c r="BJ67" i="2"/>
  <c r="BK65" i="2"/>
  <c r="BI55" i="2"/>
  <c r="BG21" i="2"/>
  <c r="AG5" i="2"/>
  <c r="BJ64" i="2" l="1"/>
  <c r="BJ71" i="2" s="1"/>
  <c r="BJ74" i="2" s="1"/>
  <c r="BJ75" i="2" s="1"/>
  <c r="BJ77" i="2" s="1"/>
  <c r="BJ85" i="2" s="1"/>
  <c r="P760" i="6" s="1"/>
  <c r="P760" i="8" s="1"/>
  <c r="BK64" i="2"/>
  <c r="BK71" i="2" s="1"/>
  <c r="BK74" i="2" s="1"/>
  <c r="BK75" i="2" s="1"/>
  <c r="BK77" i="2" s="1"/>
  <c r="BK85" i="2" s="1"/>
  <c r="Q760" i="6" s="1"/>
  <c r="Q760" i="8" s="1"/>
  <c r="AS79" i="5"/>
  <c r="BM32" i="2"/>
  <c r="H657" i="6" s="1"/>
  <c r="H657" i="8" s="1"/>
  <c r="BL93" i="2"/>
  <c r="BL50" i="2"/>
  <c r="Q656" i="6"/>
  <c r="Q656" i="8" s="1"/>
  <c r="AT69" i="5"/>
  <c r="O731" i="6"/>
  <c r="O731" i="8" s="1"/>
  <c r="AW74" i="5"/>
  <c r="O656" i="6"/>
  <c r="O656" i="8" s="1"/>
  <c r="AS69" i="5"/>
  <c r="Q731" i="6"/>
  <c r="Q731" i="8" s="1"/>
  <c r="AX74" i="5"/>
  <c r="BL29" i="2"/>
  <c r="AQ67" i="5" s="1"/>
  <c r="AQ88" i="2"/>
  <c r="AQ90" i="2" s="1"/>
  <c r="AQ91" i="2" s="1"/>
  <c r="AQ74" i="5"/>
  <c r="F661" i="6"/>
  <c r="AN70" i="5"/>
  <c r="AR70" i="5"/>
  <c r="H587" i="6"/>
  <c r="AM67" i="5"/>
  <c r="AM74" i="5"/>
  <c r="F591" i="6"/>
  <c r="H517" i="6"/>
  <c r="H517" i="8" s="1"/>
  <c r="AJ70" i="5"/>
  <c r="AI67" i="5"/>
  <c r="AI74" i="5"/>
  <c r="F521" i="6"/>
  <c r="AF70" i="5"/>
  <c r="H447" i="6"/>
  <c r="AE74" i="5"/>
  <c r="F451" i="6"/>
  <c r="F444" i="6"/>
  <c r="F444" i="8" s="1"/>
  <c r="AE67" i="5"/>
  <c r="AB70" i="5"/>
  <c r="H377" i="6"/>
  <c r="AA67" i="5"/>
  <c r="F374" i="6"/>
  <c r="F374" i="8" s="1"/>
  <c r="AA74" i="5"/>
  <c r="F381" i="6"/>
  <c r="X70" i="5"/>
  <c r="H307" i="6"/>
  <c r="W74" i="5"/>
  <c r="F311" i="6"/>
  <c r="T70" i="5"/>
  <c r="H237" i="6"/>
  <c r="S67" i="5"/>
  <c r="F234" i="6"/>
  <c r="F234" i="8" s="1"/>
  <c r="S74" i="5"/>
  <c r="F241" i="6"/>
  <c r="P70" i="5"/>
  <c r="H167" i="6"/>
  <c r="O67" i="5"/>
  <c r="F164" i="6"/>
  <c r="F164" i="8" s="1"/>
  <c r="O74" i="5"/>
  <c r="F171" i="6"/>
  <c r="K67" i="5"/>
  <c r="F94" i="8"/>
  <c r="AV83" i="2"/>
  <c r="F731" i="6"/>
  <c r="F731" i="8" s="1"/>
  <c r="K74" i="5"/>
  <c r="F101" i="6"/>
  <c r="Q593" i="6"/>
  <c r="Q593" i="8" s="1"/>
  <c r="AU84" i="2"/>
  <c r="AU88" i="2" s="1"/>
  <c r="AU90" i="2" s="1"/>
  <c r="AU91" i="2" s="1"/>
  <c r="O593" i="6"/>
  <c r="O593" i="8" s="1"/>
  <c r="AT67" i="5"/>
  <c r="Q654" i="6"/>
  <c r="Q654" i="8" s="1"/>
  <c r="AT79" i="5"/>
  <c r="Q666" i="6"/>
  <c r="Q666" i="8" s="1"/>
  <c r="Q669" i="6"/>
  <c r="Q669" i="8" s="1"/>
  <c r="AT82" i="5"/>
  <c r="O651" i="6"/>
  <c r="O651" i="8" s="1"/>
  <c r="AS64" i="5"/>
  <c r="AS82" i="5"/>
  <c r="O669" i="6"/>
  <c r="O669" i="8" s="1"/>
  <c r="Q665" i="6"/>
  <c r="Q665" i="8" s="1"/>
  <c r="AT78" i="5"/>
  <c r="AS78" i="5"/>
  <c r="O665" i="6"/>
  <c r="O665" i="8" s="1"/>
  <c r="O657" i="6"/>
  <c r="O657" i="8" s="1"/>
  <c r="AS70" i="5"/>
  <c r="O654" i="6"/>
  <c r="O654" i="8" s="1"/>
  <c r="AS67" i="5"/>
  <c r="AT64" i="5"/>
  <c r="Q651" i="6"/>
  <c r="Q651" i="8" s="1"/>
  <c r="O670" i="6"/>
  <c r="O670" i="8" s="1"/>
  <c r="AS83" i="5"/>
  <c r="Q670" i="6"/>
  <c r="Q670" i="8" s="1"/>
  <c r="AT83" i="5"/>
  <c r="AT70" i="5"/>
  <c r="Q657" i="6"/>
  <c r="Q657" i="8" s="1"/>
  <c r="BL35" i="2"/>
  <c r="BL32" i="2"/>
  <c r="F97" i="6" s="1"/>
  <c r="F97" i="8" s="1"/>
  <c r="BA46" i="2"/>
  <c r="BA83" i="2" s="1"/>
  <c r="BE22" i="2"/>
  <c r="O582" i="6"/>
  <c r="O582" i="8" s="1"/>
  <c r="O577" i="6"/>
  <c r="O577" i="8" s="1"/>
  <c r="BE38" i="2"/>
  <c r="AS76" i="5" s="1"/>
  <c r="BE27" i="2"/>
  <c r="AS65" i="5" s="1"/>
  <c r="BF22" i="2"/>
  <c r="BF30" i="2"/>
  <c r="AT68" i="5" s="1"/>
  <c r="Q582" i="6"/>
  <c r="Q582" i="8" s="1"/>
  <c r="Q588" i="6"/>
  <c r="Q588" i="8" s="1"/>
  <c r="Q658" i="6"/>
  <c r="Q658" i="8" s="1"/>
  <c r="Q577" i="6"/>
  <c r="Q577" i="8" s="1"/>
  <c r="O585" i="6"/>
  <c r="O585" i="8" s="1"/>
  <c r="AZ46" i="2"/>
  <c r="AZ84" i="2" s="1"/>
  <c r="BE30" i="2"/>
  <c r="AS68" i="5" s="1"/>
  <c r="Q585" i="6"/>
  <c r="Q585" i="8" s="1"/>
  <c r="BE33" i="2"/>
  <c r="AS71" i="5" s="1"/>
  <c r="O660" i="6"/>
  <c r="O660" i="8" s="1"/>
  <c r="BF27" i="2"/>
  <c r="AT65" i="5" s="1"/>
  <c r="O588" i="6"/>
  <c r="O588" i="8" s="1"/>
  <c r="BF38" i="2"/>
  <c r="AT76" i="5" s="1"/>
  <c r="AV88" i="2"/>
  <c r="AV90" i="2" s="1"/>
  <c r="AV91" i="2" s="1"/>
  <c r="AV86" i="2"/>
  <c r="AW73" i="5"/>
  <c r="AX73" i="5"/>
  <c r="BM52" i="2"/>
  <c r="BL72" i="2"/>
  <c r="BL68" i="2"/>
  <c r="BL67" i="2" s="1"/>
  <c r="BM63" i="2"/>
  <c r="BM72" i="2"/>
  <c r="BM62" i="2"/>
  <c r="BM68" i="2"/>
  <c r="BM67" i="2" s="1"/>
  <c r="BL63" i="2"/>
  <c r="BM93" i="2"/>
  <c r="BL62" i="2"/>
  <c r="BM47" i="2"/>
  <c r="BL37" i="2"/>
  <c r="BM40" i="2"/>
  <c r="H665" i="6" s="1"/>
  <c r="H665" i="8" s="1"/>
  <c r="BL24" i="2"/>
  <c r="BM31" i="2"/>
  <c r="H656" i="6" s="1"/>
  <c r="H656" i="8" s="1"/>
  <c r="BL31" i="2"/>
  <c r="BL40" i="2"/>
  <c r="BM42" i="2"/>
  <c r="H667" i="6" s="1"/>
  <c r="H667" i="8" s="1"/>
  <c r="BM24" i="2"/>
  <c r="BM48" i="2"/>
  <c r="BL53" i="2"/>
  <c r="BM44" i="2"/>
  <c r="H669" i="6" s="1"/>
  <c r="H669" i="8" s="1"/>
  <c r="BM25" i="2"/>
  <c r="BL28" i="2"/>
  <c r="BL48" i="2"/>
  <c r="BM34" i="2"/>
  <c r="BL39" i="2"/>
  <c r="BL44" i="2"/>
  <c r="BL51" i="2"/>
  <c r="BL41" i="2"/>
  <c r="BL49" i="2"/>
  <c r="BM23" i="2"/>
  <c r="BM35" i="2"/>
  <c r="H660" i="6" s="1"/>
  <c r="H660" i="8" s="1"/>
  <c r="BM45" i="2"/>
  <c r="H670" i="6" s="1"/>
  <c r="H670" i="8" s="1"/>
  <c r="BL42" i="2"/>
  <c r="BL34" i="2"/>
  <c r="BM43" i="2"/>
  <c r="BM50" i="2"/>
  <c r="BM49" i="2"/>
  <c r="BL25" i="2"/>
  <c r="BM53" i="2"/>
  <c r="BL52" i="2"/>
  <c r="BL23" i="2"/>
  <c r="BM39" i="2"/>
  <c r="BM26" i="2"/>
  <c r="H651" i="6" s="1"/>
  <c r="H651" i="8" s="1"/>
  <c r="BM36" i="2"/>
  <c r="BL43" i="2"/>
  <c r="BL47" i="2"/>
  <c r="BM54" i="2"/>
  <c r="BL26" i="2"/>
  <c r="BL54" i="2"/>
  <c r="BL45" i="2"/>
  <c r="BM28" i="2"/>
  <c r="BM29" i="2"/>
  <c r="H654" i="6" s="1"/>
  <c r="H654" i="8" s="1"/>
  <c r="BM37" i="2"/>
  <c r="AV75" i="5" s="1"/>
  <c r="BM41" i="2"/>
  <c r="H666" i="6" s="1"/>
  <c r="H666" i="8" s="1"/>
  <c r="BM51" i="2"/>
  <c r="F108" i="8" l="1"/>
  <c r="F107" i="6"/>
  <c r="F107" i="8" s="1"/>
  <c r="F667" i="6"/>
  <c r="F667" i="8" s="1"/>
  <c r="H108" i="8"/>
  <c r="AQ84" i="5"/>
  <c r="AQ72" i="5"/>
  <c r="L70" i="5"/>
  <c r="K72" i="5"/>
  <c r="K84" i="5"/>
  <c r="K85" i="5" s="1"/>
  <c r="L84" i="5"/>
  <c r="L85" i="5" s="1"/>
  <c r="L72" i="5"/>
  <c r="H737" i="6"/>
  <c r="H737" i="8" s="1"/>
  <c r="H107" i="6"/>
  <c r="H107" i="8" s="1"/>
  <c r="H97" i="6"/>
  <c r="AA97" i="6" s="1"/>
  <c r="X591" i="6"/>
  <c r="F591" i="8"/>
  <c r="X661" i="6"/>
  <c r="F661" i="8"/>
  <c r="X101" i="6"/>
  <c r="F101" i="8"/>
  <c r="X171" i="6"/>
  <c r="F171" i="8"/>
  <c r="AA167" i="6"/>
  <c r="H167" i="8"/>
  <c r="X311" i="6"/>
  <c r="F311" i="8"/>
  <c r="X381" i="6"/>
  <c r="F381" i="8"/>
  <c r="AA377" i="6"/>
  <c r="H377" i="8"/>
  <c r="X451" i="6"/>
  <c r="F451" i="8"/>
  <c r="X521" i="6"/>
  <c r="F521" i="8"/>
  <c r="AA587" i="6"/>
  <c r="AA587" i="8" s="1"/>
  <c r="H587" i="8"/>
  <c r="X241" i="6"/>
  <c r="F241" i="8"/>
  <c r="AA237" i="6"/>
  <c r="H237" i="8"/>
  <c r="AA307" i="6"/>
  <c r="H307" i="8"/>
  <c r="AA447" i="6"/>
  <c r="AA447" i="8" s="1"/>
  <c r="H447" i="8"/>
  <c r="W67" i="5"/>
  <c r="F304" i="6"/>
  <c r="F304" i="8" s="1"/>
  <c r="H727" i="6"/>
  <c r="H727" i="8" s="1"/>
  <c r="W84" i="5"/>
  <c r="W72" i="5"/>
  <c r="O317" i="8"/>
  <c r="F317" i="6"/>
  <c r="F317" i="8" s="1"/>
  <c r="H317" i="6"/>
  <c r="H317" i="8" s="1"/>
  <c r="Q317" i="8"/>
  <c r="X84" i="5"/>
  <c r="X72" i="5"/>
  <c r="AU84" i="5"/>
  <c r="AU72" i="5"/>
  <c r="AU80" i="5"/>
  <c r="F737" i="6"/>
  <c r="AV72" i="5"/>
  <c r="AV84" i="5"/>
  <c r="AV70" i="5"/>
  <c r="F724" i="6"/>
  <c r="F724" i="8" s="1"/>
  <c r="AU67" i="5"/>
  <c r="X731" i="6"/>
  <c r="F654" i="6"/>
  <c r="F514" i="6"/>
  <c r="F584" i="6"/>
  <c r="Q726" i="6"/>
  <c r="Q726" i="8" s="1"/>
  <c r="AX69" i="5"/>
  <c r="AW69" i="5"/>
  <c r="O726" i="6"/>
  <c r="O726" i="8" s="1"/>
  <c r="H664" i="6"/>
  <c r="AV77" i="5"/>
  <c r="F720" i="6"/>
  <c r="AU63" i="5"/>
  <c r="F723" i="6"/>
  <c r="F723" i="8" s="1"/>
  <c r="AU66" i="5"/>
  <c r="H650" i="6"/>
  <c r="AV63" i="5"/>
  <c r="H661" i="6"/>
  <c r="AV74" i="5"/>
  <c r="H659" i="6"/>
  <c r="AA667" i="6"/>
  <c r="AV80" i="5"/>
  <c r="AQ75" i="5"/>
  <c r="AU75" i="5"/>
  <c r="AQ77" i="5"/>
  <c r="AU77" i="5"/>
  <c r="H653" i="6"/>
  <c r="AV66" i="5"/>
  <c r="H723" i="6"/>
  <c r="AA670" i="6"/>
  <c r="AA669" i="6"/>
  <c r="H609" i="6"/>
  <c r="H679" i="6"/>
  <c r="H612" i="6"/>
  <c r="H682" i="6"/>
  <c r="H611" i="6"/>
  <c r="H681" i="6"/>
  <c r="F606" i="6"/>
  <c r="F676" i="6"/>
  <c r="AQ83" i="5"/>
  <c r="F670" i="6"/>
  <c r="F605" i="6"/>
  <c r="F675" i="6"/>
  <c r="F675" i="8" s="1"/>
  <c r="AQ63" i="5"/>
  <c r="F650" i="6"/>
  <c r="AQ66" i="5"/>
  <c r="F653" i="6"/>
  <c r="AA666" i="6"/>
  <c r="F612" i="6"/>
  <c r="F682" i="6"/>
  <c r="F578" i="6"/>
  <c r="F648" i="6"/>
  <c r="H607" i="6"/>
  <c r="H607" i="8" s="1"/>
  <c r="H677" i="6"/>
  <c r="H677" i="8" s="1"/>
  <c r="AQ80" i="5"/>
  <c r="H579" i="6"/>
  <c r="H649" i="6"/>
  <c r="H655" i="6"/>
  <c r="H655" i="8" s="1"/>
  <c r="AA656" i="6"/>
  <c r="AA660" i="6"/>
  <c r="AA660" i="8" s="1"/>
  <c r="Q663" i="6"/>
  <c r="Q663" i="8" s="1"/>
  <c r="F611" i="6"/>
  <c r="F681" i="6"/>
  <c r="AQ78" i="5"/>
  <c r="F665" i="6"/>
  <c r="AQ73" i="5"/>
  <c r="F660" i="6"/>
  <c r="F659" i="6"/>
  <c r="AQ82" i="5"/>
  <c r="F669" i="6"/>
  <c r="F656" i="6"/>
  <c r="F656" i="8" s="1"/>
  <c r="AQ69" i="5"/>
  <c r="AU86" i="2"/>
  <c r="F651" i="6"/>
  <c r="F651" i="8" s="1"/>
  <c r="AQ64" i="5"/>
  <c r="H608" i="6"/>
  <c r="H678" i="6"/>
  <c r="F666" i="6"/>
  <c r="AQ79" i="5"/>
  <c r="F579" i="6"/>
  <c r="F649" i="6"/>
  <c r="H610" i="6"/>
  <c r="H680" i="6"/>
  <c r="F657" i="6"/>
  <c r="AQ70" i="5"/>
  <c r="AM64" i="5"/>
  <c r="F581" i="6"/>
  <c r="F581" i="8" s="1"/>
  <c r="AN79" i="5"/>
  <c r="AR79" i="5"/>
  <c r="H596" i="6"/>
  <c r="AM83" i="5"/>
  <c r="F600" i="6"/>
  <c r="AR77" i="5"/>
  <c r="AN77" i="5"/>
  <c r="H594" i="6"/>
  <c r="H594" i="8" s="1"/>
  <c r="AM63" i="5"/>
  <c r="F580" i="6"/>
  <c r="F589" i="6"/>
  <c r="AM82" i="5"/>
  <c r="F599" i="6"/>
  <c r="F583" i="6"/>
  <c r="AM66" i="5"/>
  <c r="F586" i="6"/>
  <c r="AM69" i="5"/>
  <c r="AI75" i="5"/>
  <c r="AM75" i="5"/>
  <c r="AJ75" i="5"/>
  <c r="AR75" i="5"/>
  <c r="AN75" i="5"/>
  <c r="AM80" i="5"/>
  <c r="X597" i="6"/>
  <c r="AI77" i="5"/>
  <c r="AM77" i="5"/>
  <c r="AR63" i="5"/>
  <c r="AN63" i="5"/>
  <c r="H580" i="6"/>
  <c r="H586" i="6"/>
  <c r="AN69" i="5"/>
  <c r="AR69" i="5"/>
  <c r="AN67" i="5"/>
  <c r="AR67" i="5"/>
  <c r="H584" i="6"/>
  <c r="H584" i="8" s="1"/>
  <c r="AN74" i="5"/>
  <c r="AR74" i="5"/>
  <c r="H591" i="6"/>
  <c r="AN83" i="5"/>
  <c r="H600" i="6"/>
  <c r="AR83" i="5"/>
  <c r="AM79" i="5"/>
  <c r="F596" i="6"/>
  <c r="H589" i="6"/>
  <c r="AR82" i="5"/>
  <c r="AN82" i="5"/>
  <c r="H599" i="6"/>
  <c r="AR80" i="5"/>
  <c r="AN80" i="5"/>
  <c r="AA597" i="6"/>
  <c r="AM70" i="5"/>
  <c r="F587" i="6"/>
  <c r="F587" i="8" s="1"/>
  <c r="AR66" i="5"/>
  <c r="AN66" i="5"/>
  <c r="H583" i="6"/>
  <c r="AN64" i="5"/>
  <c r="AR64" i="5"/>
  <c r="H581" i="6"/>
  <c r="H581" i="8" s="1"/>
  <c r="AR73" i="5"/>
  <c r="AN73" i="5"/>
  <c r="H590" i="6"/>
  <c r="H590" i="8" s="1"/>
  <c r="AM78" i="5"/>
  <c r="F595" i="6"/>
  <c r="F595" i="8" s="1"/>
  <c r="AN78" i="5"/>
  <c r="AR78" i="5"/>
  <c r="H595" i="6"/>
  <c r="F590" i="6"/>
  <c r="F590" i="8" s="1"/>
  <c r="AM73" i="5"/>
  <c r="F472" i="6"/>
  <c r="F542" i="6"/>
  <c r="F438" i="6"/>
  <c r="F508" i="6"/>
  <c r="H467" i="6"/>
  <c r="H537" i="6"/>
  <c r="H537" i="8" s="1"/>
  <c r="AI80" i="5"/>
  <c r="X527" i="6"/>
  <c r="AJ63" i="5"/>
  <c r="H510" i="6"/>
  <c r="H439" i="6"/>
  <c r="H509" i="6"/>
  <c r="AJ69" i="5"/>
  <c r="H516" i="6"/>
  <c r="AA517" i="6"/>
  <c r="AJ67" i="5"/>
  <c r="H514" i="6"/>
  <c r="H514" i="8" s="1"/>
  <c r="AI64" i="5"/>
  <c r="F511" i="6"/>
  <c r="F511" i="8" s="1"/>
  <c r="AJ74" i="5"/>
  <c r="H521" i="6"/>
  <c r="H468" i="6"/>
  <c r="H538" i="6"/>
  <c r="AJ83" i="5"/>
  <c r="H530" i="6"/>
  <c r="AI79" i="5"/>
  <c r="F526" i="6"/>
  <c r="H519" i="6"/>
  <c r="AJ82" i="5"/>
  <c r="H529" i="6"/>
  <c r="AJ80" i="5"/>
  <c r="AA527" i="6"/>
  <c r="F439" i="6"/>
  <c r="F509" i="6"/>
  <c r="H470" i="6"/>
  <c r="H540" i="6"/>
  <c r="AI70" i="5"/>
  <c r="F517" i="6"/>
  <c r="H469" i="6"/>
  <c r="H539" i="6"/>
  <c r="H513" i="6"/>
  <c r="AJ66" i="5"/>
  <c r="H472" i="6"/>
  <c r="H542" i="6"/>
  <c r="H511" i="6"/>
  <c r="H511" i="8" s="1"/>
  <c r="AJ64" i="5"/>
  <c r="H471" i="6"/>
  <c r="H541" i="6"/>
  <c r="AJ73" i="5"/>
  <c r="H520" i="6"/>
  <c r="H520" i="8" s="1"/>
  <c r="F466" i="6"/>
  <c r="F536" i="6"/>
  <c r="F471" i="6"/>
  <c r="F541" i="6"/>
  <c r="AI78" i="5"/>
  <c r="F525" i="6"/>
  <c r="F525" i="8" s="1"/>
  <c r="AJ78" i="5"/>
  <c r="H525" i="6"/>
  <c r="AI73" i="5"/>
  <c r="F520" i="6"/>
  <c r="F520" i="8" s="1"/>
  <c r="AJ79" i="5"/>
  <c r="H526" i="6"/>
  <c r="F530" i="6"/>
  <c r="AI83" i="5"/>
  <c r="F465" i="6"/>
  <c r="F535" i="6"/>
  <c r="F535" i="8" s="1"/>
  <c r="AJ77" i="5"/>
  <c r="H524" i="6"/>
  <c r="H524" i="8" s="1"/>
  <c r="AI63" i="5"/>
  <c r="F510" i="6"/>
  <c r="F519" i="6"/>
  <c r="AI82" i="5"/>
  <c r="F529" i="6"/>
  <c r="F513" i="6"/>
  <c r="AI66" i="5"/>
  <c r="F516" i="6"/>
  <c r="F516" i="8" s="1"/>
  <c r="AI69" i="5"/>
  <c r="AF74" i="5"/>
  <c r="H451" i="6"/>
  <c r="F456" i="6"/>
  <c r="AE79" i="5"/>
  <c r="H456" i="6"/>
  <c r="AF79" i="5"/>
  <c r="F460" i="6"/>
  <c r="AE83" i="5"/>
  <c r="AF77" i="5"/>
  <c r="H454" i="6"/>
  <c r="H454" i="8" s="1"/>
  <c r="AE63" i="5"/>
  <c r="F440" i="6"/>
  <c r="F449" i="6"/>
  <c r="F459" i="6"/>
  <c r="AE82" i="5"/>
  <c r="F443" i="6"/>
  <c r="AE66" i="5"/>
  <c r="AE69" i="5"/>
  <c r="F446" i="6"/>
  <c r="F446" i="8" s="1"/>
  <c r="AA75" i="5"/>
  <c r="AE75" i="5"/>
  <c r="AB75" i="5"/>
  <c r="AF75" i="5"/>
  <c r="AE80" i="5"/>
  <c r="X457" i="6"/>
  <c r="AA77" i="5"/>
  <c r="AE77" i="5"/>
  <c r="AF63" i="5"/>
  <c r="H440" i="6"/>
  <c r="AF69" i="5"/>
  <c r="H446" i="6"/>
  <c r="H446" i="8" s="1"/>
  <c r="AF67" i="5"/>
  <c r="H444" i="6"/>
  <c r="H444" i="8" s="1"/>
  <c r="AE64" i="5"/>
  <c r="F441" i="6"/>
  <c r="F441" i="8" s="1"/>
  <c r="AF83" i="5"/>
  <c r="H460" i="6"/>
  <c r="H449" i="6"/>
  <c r="AF82" i="5"/>
  <c r="H459" i="6"/>
  <c r="AF80" i="5"/>
  <c r="AA457" i="6"/>
  <c r="AE70" i="5"/>
  <c r="F447" i="6"/>
  <c r="AF66" i="5"/>
  <c r="H443" i="6"/>
  <c r="AF64" i="5"/>
  <c r="H441" i="6"/>
  <c r="H441" i="8" s="1"/>
  <c r="AF73" i="5"/>
  <c r="H450" i="6"/>
  <c r="H450" i="8" s="1"/>
  <c r="AE78" i="5"/>
  <c r="F455" i="6"/>
  <c r="F455" i="8" s="1"/>
  <c r="AF78" i="5"/>
  <c r="H455" i="6"/>
  <c r="AE73" i="5"/>
  <c r="F450" i="6"/>
  <c r="F450" i="8" s="1"/>
  <c r="X444" i="6"/>
  <c r="AB79" i="5"/>
  <c r="H386" i="6"/>
  <c r="F325" i="6"/>
  <c r="F395" i="6"/>
  <c r="F395" i="8" s="1"/>
  <c r="H374" i="6"/>
  <c r="H374" i="8" s="1"/>
  <c r="AB67" i="5"/>
  <c r="AA64" i="5"/>
  <c r="F371" i="6"/>
  <c r="AB74" i="5"/>
  <c r="H381" i="6"/>
  <c r="H328" i="6"/>
  <c r="H398" i="6"/>
  <c r="AB83" i="5"/>
  <c r="H390" i="6"/>
  <c r="AA79" i="5"/>
  <c r="F386" i="6"/>
  <c r="H379" i="6"/>
  <c r="AB82" i="5"/>
  <c r="H389" i="6"/>
  <c r="AB80" i="5"/>
  <c r="AA387" i="6"/>
  <c r="F299" i="6"/>
  <c r="F369" i="6"/>
  <c r="H330" i="6"/>
  <c r="H400" i="6"/>
  <c r="AA70" i="5"/>
  <c r="F377" i="6"/>
  <c r="X374" i="6"/>
  <c r="H329" i="6"/>
  <c r="H399" i="6"/>
  <c r="AB66" i="5"/>
  <c r="H373" i="6"/>
  <c r="H332" i="6"/>
  <c r="H402" i="6"/>
  <c r="AB64" i="5"/>
  <c r="H371" i="6"/>
  <c r="H331" i="6"/>
  <c r="H401" i="6"/>
  <c r="H380" i="6"/>
  <c r="H380" i="8" s="1"/>
  <c r="AB73" i="5"/>
  <c r="F326" i="6"/>
  <c r="F396" i="6"/>
  <c r="F331" i="6"/>
  <c r="F401" i="6"/>
  <c r="AA78" i="5"/>
  <c r="F385" i="6"/>
  <c r="F385" i="8" s="1"/>
  <c r="H385" i="6"/>
  <c r="AB78" i="5"/>
  <c r="AA73" i="5"/>
  <c r="F380" i="6"/>
  <c r="F380" i="8" s="1"/>
  <c r="AA83" i="5"/>
  <c r="F390" i="6"/>
  <c r="AB77" i="5"/>
  <c r="H384" i="6"/>
  <c r="H384" i="8" s="1"/>
  <c r="AA63" i="5"/>
  <c r="F370" i="6"/>
  <c r="F379" i="6"/>
  <c r="AA82" i="5"/>
  <c r="F389" i="6"/>
  <c r="F373" i="6"/>
  <c r="AA66" i="5"/>
  <c r="AA69" i="5"/>
  <c r="F376" i="6"/>
  <c r="F376" i="8" s="1"/>
  <c r="F332" i="6"/>
  <c r="F402" i="6"/>
  <c r="F298" i="6"/>
  <c r="F368" i="6"/>
  <c r="H327" i="6"/>
  <c r="H397" i="6"/>
  <c r="H397" i="8" s="1"/>
  <c r="AA80" i="5"/>
  <c r="X387" i="6"/>
  <c r="AB63" i="5"/>
  <c r="H370" i="6"/>
  <c r="H299" i="6"/>
  <c r="H369" i="6"/>
  <c r="H376" i="6"/>
  <c r="H376" i="8" s="1"/>
  <c r="AB69" i="5"/>
  <c r="W64" i="5"/>
  <c r="F301" i="6"/>
  <c r="F301" i="8" s="1"/>
  <c r="X83" i="5"/>
  <c r="H320" i="6"/>
  <c r="H309" i="6"/>
  <c r="X80" i="5"/>
  <c r="H316" i="6"/>
  <c r="X79" i="5"/>
  <c r="F320" i="6"/>
  <c r="W83" i="5"/>
  <c r="X77" i="5"/>
  <c r="H314" i="6"/>
  <c r="H314" i="8" s="1"/>
  <c r="W63" i="5"/>
  <c r="F300" i="6"/>
  <c r="F309" i="6"/>
  <c r="W82" i="5"/>
  <c r="F319" i="6"/>
  <c r="F303" i="6"/>
  <c r="W66" i="5"/>
  <c r="F306" i="6"/>
  <c r="F306" i="8" s="1"/>
  <c r="W69" i="5"/>
  <c r="S75" i="5"/>
  <c r="W75" i="5"/>
  <c r="T75" i="5"/>
  <c r="X75" i="5"/>
  <c r="W80" i="5"/>
  <c r="S77" i="5"/>
  <c r="W77" i="5"/>
  <c r="X63" i="5"/>
  <c r="H300" i="6"/>
  <c r="X69" i="5"/>
  <c r="H306" i="6"/>
  <c r="H306" i="8" s="1"/>
  <c r="X67" i="5"/>
  <c r="H304" i="6"/>
  <c r="H304" i="8" s="1"/>
  <c r="X74" i="5"/>
  <c r="H311" i="6"/>
  <c r="W79" i="5"/>
  <c r="F316" i="6"/>
  <c r="X82" i="5"/>
  <c r="H319" i="6"/>
  <c r="W70" i="5"/>
  <c r="F307" i="6"/>
  <c r="X66" i="5"/>
  <c r="H303" i="6"/>
  <c r="X64" i="5"/>
  <c r="H301" i="6"/>
  <c r="X73" i="5"/>
  <c r="H310" i="6"/>
  <c r="H310" i="8" s="1"/>
  <c r="W78" i="5"/>
  <c r="F315" i="6"/>
  <c r="F315" i="8" s="1"/>
  <c r="X78" i="5"/>
  <c r="H315" i="6"/>
  <c r="F310" i="6"/>
  <c r="F310" i="8" s="1"/>
  <c r="W73" i="5"/>
  <c r="S64" i="5"/>
  <c r="F231" i="6"/>
  <c r="T83" i="5"/>
  <c r="H250" i="6"/>
  <c r="H239" i="6"/>
  <c r="T80" i="5"/>
  <c r="AA247" i="6"/>
  <c r="F159" i="6"/>
  <c r="F229" i="6"/>
  <c r="S70" i="5"/>
  <c r="F237" i="6"/>
  <c r="H189" i="6"/>
  <c r="H259" i="6"/>
  <c r="H192" i="6"/>
  <c r="H262" i="6"/>
  <c r="H191" i="6"/>
  <c r="H261" i="6"/>
  <c r="T73" i="5"/>
  <c r="H240" i="6"/>
  <c r="H240" i="8" s="1"/>
  <c r="F186" i="6"/>
  <c r="F256" i="6"/>
  <c r="T78" i="5"/>
  <c r="H245" i="6"/>
  <c r="T79" i="5"/>
  <c r="H246" i="6"/>
  <c r="S83" i="5"/>
  <c r="F250" i="6"/>
  <c r="F185" i="6"/>
  <c r="F255" i="6"/>
  <c r="F255" i="8" s="1"/>
  <c r="T77" i="5"/>
  <c r="H244" i="6"/>
  <c r="H244" i="8" s="1"/>
  <c r="S63" i="5"/>
  <c r="F230" i="6"/>
  <c r="F239" i="6"/>
  <c r="F249" i="6"/>
  <c r="S82" i="5"/>
  <c r="S66" i="5"/>
  <c r="F233" i="6"/>
  <c r="S69" i="5"/>
  <c r="F236" i="6"/>
  <c r="F236" i="8" s="1"/>
  <c r="T67" i="5"/>
  <c r="H234" i="6"/>
  <c r="H234" i="8" s="1"/>
  <c r="T74" i="5"/>
  <c r="H241" i="6"/>
  <c r="H188" i="6"/>
  <c r="H258" i="6"/>
  <c r="S79" i="5"/>
  <c r="F246" i="6"/>
  <c r="H249" i="6"/>
  <c r="T82" i="5"/>
  <c r="H190" i="6"/>
  <c r="H260" i="6"/>
  <c r="X234" i="6"/>
  <c r="T66" i="5"/>
  <c r="H233" i="6"/>
  <c r="T64" i="5"/>
  <c r="H231" i="6"/>
  <c r="F191" i="6"/>
  <c r="F261" i="6"/>
  <c r="F245" i="6"/>
  <c r="F245" i="8" s="1"/>
  <c r="S78" i="5"/>
  <c r="S73" i="5"/>
  <c r="F240" i="6"/>
  <c r="F240" i="8" s="1"/>
  <c r="F192" i="6"/>
  <c r="F262" i="6"/>
  <c r="F158" i="6"/>
  <c r="F228" i="6"/>
  <c r="H187" i="6"/>
  <c r="H187" i="8" s="1"/>
  <c r="H257" i="6"/>
  <c r="H257" i="8" s="1"/>
  <c r="S80" i="5"/>
  <c r="X247" i="6"/>
  <c r="T63" i="5"/>
  <c r="H230" i="6"/>
  <c r="H159" i="6"/>
  <c r="H229" i="6"/>
  <c r="T69" i="5"/>
  <c r="H236" i="6"/>
  <c r="H236" i="8" s="1"/>
  <c r="H176" i="6"/>
  <c r="P79" i="5"/>
  <c r="F160" i="6"/>
  <c r="O63" i="5"/>
  <c r="O66" i="5"/>
  <c r="F163" i="6"/>
  <c r="O69" i="5"/>
  <c r="F166" i="6"/>
  <c r="F166" i="8" s="1"/>
  <c r="L75" i="5"/>
  <c r="P75" i="5"/>
  <c r="P67" i="5"/>
  <c r="H164" i="6"/>
  <c r="H164" i="8" s="1"/>
  <c r="F161" i="6"/>
  <c r="O64" i="5"/>
  <c r="P74" i="5"/>
  <c r="H171" i="6"/>
  <c r="P83" i="5"/>
  <c r="H180" i="6"/>
  <c r="O79" i="5"/>
  <c r="F176" i="6"/>
  <c r="H169" i="6"/>
  <c r="P82" i="5"/>
  <c r="H179" i="6"/>
  <c r="P80" i="5"/>
  <c r="AA177" i="6"/>
  <c r="O70" i="5"/>
  <c r="F167" i="6"/>
  <c r="F180" i="6"/>
  <c r="O83" i="5"/>
  <c r="P77" i="5"/>
  <c r="H174" i="6"/>
  <c r="H174" i="8" s="1"/>
  <c r="F169" i="6"/>
  <c r="O82" i="5"/>
  <c r="F179" i="6"/>
  <c r="K75" i="5"/>
  <c r="O75" i="5"/>
  <c r="X164" i="6"/>
  <c r="O80" i="5"/>
  <c r="X177" i="6"/>
  <c r="K77" i="5"/>
  <c r="O77" i="5"/>
  <c r="P63" i="5"/>
  <c r="H160" i="6"/>
  <c r="P69" i="5"/>
  <c r="H166" i="6"/>
  <c r="H166" i="8" s="1"/>
  <c r="P66" i="5"/>
  <c r="H163" i="6"/>
  <c r="P64" i="5"/>
  <c r="H161" i="6"/>
  <c r="P73" i="5"/>
  <c r="H170" i="6"/>
  <c r="H170" i="8" s="1"/>
  <c r="F175" i="6"/>
  <c r="F175" i="8" s="1"/>
  <c r="O78" i="5"/>
  <c r="H175" i="6"/>
  <c r="P78" i="5"/>
  <c r="O73" i="5"/>
  <c r="F170" i="6"/>
  <c r="F170" i="8" s="1"/>
  <c r="AA665" i="6"/>
  <c r="L67" i="5"/>
  <c r="H94" i="6"/>
  <c r="H94" i="8" s="1"/>
  <c r="H731" i="6"/>
  <c r="L74" i="5"/>
  <c r="H101" i="6"/>
  <c r="H748" i="6"/>
  <c r="H118" i="6"/>
  <c r="H729" i="6"/>
  <c r="H99" i="6"/>
  <c r="L80" i="5"/>
  <c r="H750" i="6"/>
  <c r="H120" i="6"/>
  <c r="F100" i="6"/>
  <c r="F100" i="8" s="1"/>
  <c r="K73" i="5"/>
  <c r="H749" i="6"/>
  <c r="H119" i="6"/>
  <c r="H752" i="6"/>
  <c r="H122" i="6"/>
  <c r="H751" i="6"/>
  <c r="H121" i="6"/>
  <c r="L73" i="5"/>
  <c r="H100" i="6"/>
  <c r="H100" i="8" s="1"/>
  <c r="F746" i="6"/>
  <c r="F116" i="6"/>
  <c r="K78" i="5"/>
  <c r="F105" i="6"/>
  <c r="F105" i="8" s="1"/>
  <c r="L79" i="5"/>
  <c r="H106" i="6"/>
  <c r="F110" i="6"/>
  <c r="K83" i="5"/>
  <c r="F745" i="6"/>
  <c r="F115" i="6"/>
  <c r="F115" i="8" s="1"/>
  <c r="H734" i="6"/>
  <c r="L77" i="5"/>
  <c r="H104" i="6"/>
  <c r="H104" i="8" s="1"/>
  <c r="K63" i="5"/>
  <c r="F90" i="6"/>
  <c r="F729" i="6"/>
  <c r="F99" i="6"/>
  <c r="F109" i="6"/>
  <c r="K82" i="5"/>
  <c r="K66" i="5"/>
  <c r="F93" i="6"/>
  <c r="F96" i="6"/>
  <c r="F96" i="8" s="1"/>
  <c r="K69" i="5"/>
  <c r="F91" i="6"/>
  <c r="K64" i="5"/>
  <c r="L83" i="5"/>
  <c r="H110" i="6"/>
  <c r="F106" i="6"/>
  <c r="K79" i="5"/>
  <c r="H109" i="6"/>
  <c r="L82" i="5"/>
  <c r="X94" i="6"/>
  <c r="L66" i="5"/>
  <c r="H93" i="6"/>
  <c r="H91" i="6"/>
  <c r="L64" i="5"/>
  <c r="F751" i="6"/>
  <c r="F121" i="6"/>
  <c r="H105" i="6"/>
  <c r="L78" i="5"/>
  <c r="F752" i="6"/>
  <c r="F122" i="6"/>
  <c r="H747" i="6"/>
  <c r="H117" i="6"/>
  <c r="H117" i="8" s="1"/>
  <c r="K80" i="5"/>
  <c r="H720" i="6"/>
  <c r="L63" i="5"/>
  <c r="H90" i="6"/>
  <c r="L69" i="5"/>
  <c r="H96" i="6"/>
  <c r="H96" i="8" s="1"/>
  <c r="X97" i="6"/>
  <c r="K70" i="5"/>
  <c r="AV64" i="5"/>
  <c r="H721" i="6"/>
  <c r="H721" i="8" s="1"/>
  <c r="AU78" i="5"/>
  <c r="F735" i="6"/>
  <c r="F735" i="8" s="1"/>
  <c r="H726" i="6"/>
  <c r="H726" i="8" s="1"/>
  <c r="AV69" i="5"/>
  <c r="Q727" i="6"/>
  <c r="Q727" i="8" s="1"/>
  <c r="AX70" i="5"/>
  <c r="Q740" i="6"/>
  <c r="Q740" i="8" s="1"/>
  <c r="AX83" i="5"/>
  <c r="AW64" i="5"/>
  <c r="O721" i="6"/>
  <c r="O721" i="8" s="1"/>
  <c r="O736" i="6"/>
  <c r="O736" i="8" s="1"/>
  <c r="AW79" i="5"/>
  <c r="AU70" i="5"/>
  <c r="F727" i="6"/>
  <c r="F727" i="8" s="1"/>
  <c r="H724" i="6"/>
  <c r="H724" i="8" s="1"/>
  <c r="AV67" i="5"/>
  <c r="AU64" i="5"/>
  <c r="F721" i="6"/>
  <c r="F721" i="8" s="1"/>
  <c r="H740" i="6"/>
  <c r="AV83" i="5"/>
  <c r="AU79" i="5"/>
  <c r="F736" i="6"/>
  <c r="F736" i="8" s="1"/>
  <c r="AV82" i="5"/>
  <c r="H739" i="6"/>
  <c r="H739" i="8" s="1"/>
  <c r="Q724" i="6"/>
  <c r="Q724" i="8" s="1"/>
  <c r="AX67" i="5"/>
  <c r="Q721" i="6"/>
  <c r="Q721" i="8" s="1"/>
  <c r="AX64" i="5"/>
  <c r="O740" i="6"/>
  <c r="O740" i="8" s="1"/>
  <c r="AW83" i="5"/>
  <c r="F730" i="6"/>
  <c r="F730" i="8" s="1"/>
  <c r="AU73" i="5"/>
  <c r="H730" i="6"/>
  <c r="H730" i="8" s="1"/>
  <c r="AV73" i="5"/>
  <c r="AV78" i="5"/>
  <c r="H735" i="6"/>
  <c r="H735" i="8" s="1"/>
  <c r="Q736" i="6"/>
  <c r="Q736" i="8" s="1"/>
  <c r="AX79" i="5"/>
  <c r="O739" i="6"/>
  <c r="O739" i="8" s="1"/>
  <c r="AW82" i="5"/>
  <c r="AW67" i="5"/>
  <c r="O724" i="6"/>
  <c r="O724" i="8" s="1"/>
  <c r="H736" i="6"/>
  <c r="H736" i="8" s="1"/>
  <c r="AV79" i="5"/>
  <c r="AU83" i="5"/>
  <c r="F740" i="6"/>
  <c r="F740" i="8" s="1"/>
  <c r="F739" i="6"/>
  <c r="AU82" i="5"/>
  <c r="F726" i="6"/>
  <c r="F726" i="8" s="1"/>
  <c r="AU69" i="5"/>
  <c r="AX82" i="5"/>
  <c r="Q739" i="6"/>
  <c r="AX78" i="5"/>
  <c r="Q735" i="6"/>
  <c r="Q735" i="8" s="1"/>
  <c r="AW70" i="5"/>
  <c r="O727" i="6"/>
  <c r="O727" i="8" s="1"/>
  <c r="O735" i="6"/>
  <c r="O735" i="8" s="1"/>
  <c r="AW78" i="5"/>
  <c r="BA84" i="2"/>
  <c r="BA86" i="2" s="1"/>
  <c r="BE46" i="2"/>
  <c r="BE83" i="2" s="1"/>
  <c r="F89" i="6"/>
  <c r="F719" i="6"/>
  <c r="F88" i="6"/>
  <c r="F718" i="6"/>
  <c r="F718" i="8" s="1"/>
  <c r="H89" i="6"/>
  <c r="H719" i="6"/>
  <c r="H719" i="8" s="1"/>
  <c r="BF46" i="2"/>
  <c r="BF83" i="2" s="1"/>
  <c r="BK27" i="2"/>
  <c r="AX65" i="5" s="1"/>
  <c r="BK22" i="2"/>
  <c r="BJ33" i="2"/>
  <c r="AW71" i="5" s="1"/>
  <c r="O730" i="6"/>
  <c r="O730" i="8" s="1"/>
  <c r="BJ27" i="2"/>
  <c r="AW65" i="5" s="1"/>
  <c r="Q652" i="6"/>
  <c r="Q652" i="8" s="1"/>
  <c r="AA654" i="6"/>
  <c r="AA654" i="8" s="1"/>
  <c r="Q655" i="6"/>
  <c r="Q655" i="8" s="1"/>
  <c r="AA657" i="6"/>
  <c r="AA657" i="8" s="1"/>
  <c r="AZ83" i="2"/>
  <c r="BJ30" i="2"/>
  <c r="AW68" i="5" s="1"/>
  <c r="Q647" i="6"/>
  <c r="Q647" i="8" s="1"/>
  <c r="AA651" i="6"/>
  <c r="AA651" i="8" s="1"/>
  <c r="O663" i="6"/>
  <c r="O663" i="8" s="1"/>
  <c r="O647" i="6"/>
  <c r="O647" i="8" s="1"/>
  <c r="O652" i="6"/>
  <c r="O652" i="8" s="1"/>
  <c r="BK33" i="2"/>
  <c r="AX71" i="5" s="1"/>
  <c r="Q730" i="6"/>
  <c r="Q730" i="8" s="1"/>
  <c r="BK30" i="2"/>
  <c r="AX68" i="5" s="1"/>
  <c r="BJ22" i="2"/>
  <c r="O658" i="6"/>
  <c r="O658" i="8" s="1"/>
  <c r="O655" i="6"/>
  <c r="O655" i="8" s="1"/>
  <c r="BJ38" i="2"/>
  <c r="AW76" i="5" s="1"/>
  <c r="BK38" i="2"/>
  <c r="AX76" i="5" s="1"/>
  <c r="AZ88" i="2"/>
  <c r="AZ90" i="2" s="1"/>
  <c r="AZ91" i="2" s="1"/>
  <c r="AZ86" i="2"/>
  <c r="BL89" i="2"/>
  <c r="BM89" i="2"/>
  <c r="X107" i="6" l="1"/>
  <c r="Y107" i="6" s="1"/>
  <c r="Y107" i="8" s="1"/>
  <c r="AB587" i="6"/>
  <c r="AB587" i="8" s="1"/>
  <c r="X108" i="6"/>
  <c r="AA108" i="6"/>
  <c r="X667" i="6"/>
  <c r="Y667" i="6" s="1"/>
  <c r="Y667" i="8" s="1"/>
  <c r="AA737" i="6"/>
  <c r="AB737" i="6" s="1"/>
  <c r="AB737" i="8" s="1"/>
  <c r="H97" i="8"/>
  <c r="AA107" i="6"/>
  <c r="AB107" i="6" s="1"/>
  <c r="AB107" i="8" s="1"/>
  <c r="P86" i="5"/>
  <c r="P85" i="5"/>
  <c r="O86" i="5"/>
  <c r="O85" i="5"/>
  <c r="X304" i="6"/>
  <c r="Y304" i="6" s="1"/>
  <c r="Y304" i="8" s="1"/>
  <c r="AA739" i="6"/>
  <c r="Q739" i="8"/>
  <c r="AA747" i="6"/>
  <c r="AA747" i="8" s="1"/>
  <c r="H747" i="8"/>
  <c r="X751" i="6"/>
  <c r="F751" i="8"/>
  <c r="AA110" i="6"/>
  <c r="H110" i="8"/>
  <c r="X90" i="6"/>
  <c r="F90" i="8"/>
  <c r="AA752" i="6"/>
  <c r="H752" i="8"/>
  <c r="AA731" i="6"/>
  <c r="H731" i="8"/>
  <c r="AA161" i="6"/>
  <c r="AA161" i="8" s="1"/>
  <c r="H161" i="8"/>
  <c r="Y164" i="6"/>
  <c r="Y164" i="8" s="1"/>
  <c r="X164" i="8"/>
  <c r="AA169" i="6"/>
  <c r="AA169" i="8" s="1"/>
  <c r="H169" i="8"/>
  <c r="AA176" i="6"/>
  <c r="H176" i="8"/>
  <c r="X158" i="6"/>
  <c r="F158" i="8"/>
  <c r="X239" i="6"/>
  <c r="X239" i="8" s="1"/>
  <c r="F239" i="8"/>
  <c r="X231" i="6"/>
  <c r="F231" i="8"/>
  <c r="AA311" i="6"/>
  <c r="H311" i="8"/>
  <c r="X319" i="6"/>
  <c r="F319" i="8"/>
  <c r="X320" i="6"/>
  <c r="F320" i="8"/>
  <c r="AA299" i="6"/>
  <c r="H299" i="8"/>
  <c r="X332" i="6"/>
  <c r="F332" i="8"/>
  <c r="X390" i="6"/>
  <c r="F390" i="8"/>
  <c r="AA401" i="6"/>
  <c r="H401" i="8"/>
  <c r="AA399" i="6"/>
  <c r="H399" i="8"/>
  <c r="X299" i="6"/>
  <c r="F299" i="8"/>
  <c r="AA381" i="6"/>
  <c r="H381" i="8"/>
  <c r="X447" i="6"/>
  <c r="F447" i="8"/>
  <c r="X440" i="6"/>
  <c r="F440" i="8"/>
  <c r="X529" i="6"/>
  <c r="F529" i="8"/>
  <c r="X471" i="6"/>
  <c r="F471" i="8"/>
  <c r="AA469" i="6"/>
  <c r="H469" i="8"/>
  <c r="X526" i="6"/>
  <c r="F526" i="8"/>
  <c r="AA439" i="6"/>
  <c r="H439" i="8"/>
  <c r="X472" i="6"/>
  <c r="F472" i="8"/>
  <c r="AA583" i="6"/>
  <c r="H583" i="8"/>
  <c r="X596" i="6"/>
  <c r="F596" i="8"/>
  <c r="AA596" i="6"/>
  <c r="H596" i="8"/>
  <c r="X611" i="6"/>
  <c r="F611" i="8"/>
  <c r="X612" i="6"/>
  <c r="F612" i="8"/>
  <c r="X670" i="6"/>
  <c r="F670" i="8"/>
  <c r="AA681" i="6"/>
  <c r="H681" i="8"/>
  <c r="AA679" i="6"/>
  <c r="H679" i="8"/>
  <c r="AB667" i="6"/>
  <c r="AB667" i="8" s="1"/>
  <c r="AA667" i="8"/>
  <c r="X739" i="6"/>
  <c r="F739" i="8"/>
  <c r="AA109" i="6"/>
  <c r="H109" i="8"/>
  <c r="X109" i="6"/>
  <c r="F109" i="8"/>
  <c r="AA106" i="6"/>
  <c r="H106" i="8"/>
  <c r="AA121" i="6"/>
  <c r="H121" i="8"/>
  <c r="AA748" i="6"/>
  <c r="H748" i="8"/>
  <c r="X180" i="6"/>
  <c r="F180" i="8"/>
  <c r="AA171" i="6"/>
  <c r="H171" i="8"/>
  <c r="AA230" i="6"/>
  <c r="AA230" i="8" s="1"/>
  <c r="H230" i="8"/>
  <c r="AA231" i="6"/>
  <c r="H231" i="8"/>
  <c r="AA249" i="6"/>
  <c r="H249" i="8"/>
  <c r="X256" i="6"/>
  <c r="F256" i="8"/>
  <c r="AA261" i="6"/>
  <c r="H261" i="8"/>
  <c r="AA239" i="6"/>
  <c r="AA239" i="8" s="1"/>
  <c r="H239" i="8"/>
  <c r="AA320" i="6"/>
  <c r="H320" i="8"/>
  <c r="X389" i="6"/>
  <c r="F389" i="8"/>
  <c r="X331" i="6"/>
  <c r="F331" i="8"/>
  <c r="AA331" i="6"/>
  <c r="H331" i="8"/>
  <c r="AA329" i="6"/>
  <c r="H329" i="8"/>
  <c r="AB387" i="6"/>
  <c r="AB387" i="8" s="1"/>
  <c r="AA387" i="8"/>
  <c r="X456" i="6"/>
  <c r="F456" i="8"/>
  <c r="X517" i="6"/>
  <c r="F517" i="8"/>
  <c r="AA529" i="6"/>
  <c r="H529" i="8"/>
  <c r="AA516" i="6"/>
  <c r="AA516" i="8" s="1"/>
  <c r="H516" i="8"/>
  <c r="AB597" i="6"/>
  <c r="AB597" i="8" s="1"/>
  <c r="AA597" i="8"/>
  <c r="X583" i="6"/>
  <c r="F583" i="8"/>
  <c r="X649" i="6"/>
  <c r="F649" i="8"/>
  <c r="X665" i="6"/>
  <c r="X665" i="8" s="1"/>
  <c r="F665" i="8"/>
  <c r="AA609" i="6"/>
  <c r="H609" i="8"/>
  <c r="AA659" i="6"/>
  <c r="H659" i="8"/>
  <c r="AA650" i="6"/>
  <c r="H650" i="8"/>
  <c r="X514" i="6"/>
  <c r="F514" i="8"/>
  <c r="Y521" i="6"/>
  <c r="Y521" i="8" s="1"/>
  <c r="X521" i="8"/>
  <c r="Y661" i="6"/>
  <c r="Y661" i="8" s="1"/>
  <c r="X661" i="8"/>
  <c r="X719" i="6"/>
  <c r="F719" i="8"/>
  <c r="AA90" i="6"/>
  <c r="H90" i="8"/>
  <c r="AA105" i="6"/>
  <c r="H105" i="8"/>
  <c r="X93" i="6"/>
  <c r="X93" i="8" s="1"/>
  <c r="F93" i="8"/>
  <c r="X99" i="6"/>
  <c r="X99" i="8" s="1"/>
  <c r="F99" i="8"/>
  <c r="G764" i="6"/>
  <c r="G764" i="8" s="1"/>
  <c r="F745" i="8"/>
  <c r="X746" i="6"/>
  <c r="F746" i="8"/>
  <c r="AA751" i="6"/>
  <c r="H751" i="8"/>
  <c r="AA749" i="6"/>
  <c r="H749" i="8"/>
  <c r="AA750" i="6"/>
  <c r="H750" i="8"/>
  <c r="AA99" i="6"/>
  <c r="AA99" i="8" s="1"/>
  <c r="H99" i="8"/>
  <c r="AA101" i="6"/>
  <c r="H101" i="8"/>
  <c r="AA163" i="6"/>
  <c r="AA163" i="8" s="1"/>
  <c r="H163" i="8"/>
  <c r="AA160" i="6"/>
  <c r="AA160" i="8" s="1"/>
  <c r="H160" i="8"/>
  <c r="Y177" i="6"/>
  <c r="Y177" i="8" s="1"/>
  <c r="X177" i="8"/>
  <c r="X167" i="6"/>
  <c r="F167" i="8"/>
  <c r="AA179" i="6"/>
  <c r="H179" i="8"/>
  <c r="X160" i="6"/>
  <c r="X160" i="8" s="1"/>
  <c r="F160" i="8"/>
  <c r="X191" i="6"/>
  <c r="F191" i="8"/>
  <c r="AA260" i="6"/>
  <c r="H260" i="8"/>
  <c r="X246" i="6"/>
  <c r="F246" i="8"/>
  <c r="AA241" i="6"/>
  <c r="H241" i="8"/>
  <c r="X185" i="6"/>
  <c r="X185" i="8" s="1"/>
  <c r="F185" i="8"/>
  <c r="X186" i="6"/>
  <c r="F186" i="8"/>
  <c r="AA191" i="6"/>
  <c r="H191" i="8"/>
  <c r="AA189" i="6"/>
  <c r="H189" i="8"/>
  <c r="X159" i="6"/>
  <c r="F159" i="8"/>
  <c r="AA250" i="6"/>
  <c r="H250" i="8"/>
  <c r="AA301" i="6"/>
  <c r="H301" i="8"/>
  <c r="X307" i="6"/>
  <c r="F307" i="8"/>
  <c r="X316" i="6"/>
  <c r="F316" i="8"/>
  <c r="X309" i="6"/>
  <c r="X309" i="8" s="1"/>
  <c r="F309" i="8"/>
  <c r="AA316" i="6"/>
  <c r="H316" i="8"/>
  <c r="AA327" i="6"/>
  <c r="AA327" i="8" s="1"/>
  <c r="H327" i="8"/>
  <c r="X396" i="6"/>
  <c r="F396" i="8"/>
  <c r="AA371" i="6"/>
  <c r="H371" i="8"/>
  <c r="AA373" i="6"/>
  <c r="AA373" i="8" s="1"/>
  <c r="H373" i="8"/>
  <c r="Y374" i="6"/>
  <c r="Y374" i="8" s="1"/>
  <c r="X374" i="8"/>
  <c r="AA330" i="6"/>
  <c r="H330" i="8"/>
  <c r="X386" i="6"/>
  <c r="F386" i="8"/>
  <c r="AA398" i="6"/>
  <c r="H398" i="8"/>
  <c r="X371" i="6"/>
  <c r="F371" i="8"/>
  <c r="Y444" i="6"/>
  <c r="Y444" i="8" s="1"/>
  <c r="X444" i="8"/>
  <c r="AB457" i="6"/>
  <c r="AB457" i="8" s="1"/>
  <c r="AA457" i="8"/>
  <c r="AA449" i="6"/>
  <c r="AA449" i="8" s="1"/>
  <c r="H449" i="8"/>
  <c r="X459" i="6"/>
  <c r="F459" i="8"/>
  <c r="AA451" i="6"/>
  <c r="H451" i="8"/>
  <c r="X519" i="6"/>
  <c r="X519" i="8" s="1"/>
  <c r="F519" i="8"/>
  <c r="X530" i="6"/>
  <c r="F530" i="8"/>
  <c r="X466" i="6"/>
  <c r="F466" i="8"/>
  <c r="AA513" i="6"/>
  <c r="AA513" i="8" s="1"/>
  <c r="H513" i="8"/>
  <c r="X439" i="6"/>
  <c r="F439" i="8"/>
  <c r="AA530" i="6"/>
  <c r="H530" i="8"/>
  <c r="AA521" i="6"/>
  <c r="H521" i="8"/>
  <c r="AA467" i="6"/>
  <c r="AA467" i="8" s="1"/>
  <c r="H467" i="8"/>
  <c r="AA580" i="6"/>
  <c r="H580" i="8"/>
  <c r="X599" i="6"/>
  <c r="F599" i="8"/>
  <c r="X600" i="6"/>
  <c r="F600" i="8"/>
  <c r="X657" i="6"/>
  <c r="X657" i="8" s="1"/>
  <c r="F657" i="8"/>
  <c r="X579" i="6"/>
  <c r="F579" i="8"/>
  <c r="AA608" i="6"/>
  <c r="H608" i="8"/>
  <c r="X659" i="6"/>
  <c r="F659" i="8"/>
  <c r="AA579" i="6"/>
  <c r="H579" i="8"/>
  <c r="X653" i="6"/>
  <c r="F653" i="8"/>
  <c r="X676" i="6"/>
  <c r="F676" i="8"/>
  <c r="AA682" i="6"/>
  <c r="H682" i="8"/>
  <c r="AB669" i="6"/>
  <c r="AB669" i="8" s="1"/>
  <c r="AA669" i="8"/>
  <c r="AA653" i="6"/>
  <c r="AA652" i="6" s="1"/>
  <c r="AA652" i="8" s="1"/>
  <c r="H653" i="8"/>
  <c r="X654" i="6"/>
  <c r="X654" i="8" s="1"/>
  <c r="F654" i="8"/>
  <c r="AA720" i="6"/>
  <c r="H720" i="8"/>
  <c r="X752" i="6"/>
  <c r="F752" i="8"/>
  <c r="AA91" i="6"/>
  <c r="H91" i="8"/>
  <c r="AA734" i="6"/>
  <c r="H734" i="8"/>
  <c r="X110" i="6"/>
  <c r="F110" i="8"/>
  <c r="AA118" i="6"/>
  <c r="H118" i="8"/>
  <c r="AB177" i="6"/>
  <c r="AB177" i="8" s="1"/>
  <c r="AA177" i="8"/>
  <c r="X161" i="6"/>
  <c r="X161" i="8" s="1"/>
  <c r="F161" i="8"/>
  <c r="AA159" i="6"/>
  <c r="H159" i="8"/>
  <c r="X192" i="6"/>
  <c r="F192" i="8"/>
  <c r="AA258" i="6"/>
  <c r="H258" i="8"/>
  <c r="X233" i="6"/>
  <c r="X233" i="8" s="1"/>
  <c r="F233" i="8"/>
  <c r="AA192" i="6"/>
  <c r="H192" i="8"/>
  <c r="AA315" i="6"/>
  <c r="AA315" i="8" s="1"/>
  <c r="H315" i="8"/>
  <c r="AA303" i="6"/>
  <c r="AA303" i="8" s="1"/>
  <c r="H303" i="8"/>
  <c r="AA319" i="6"/>
  <c r="H319" i="8"/>
  <c r="AA309" i="6"/>
  <c r="AA309" i="8" s="1"/>
  <c r="H309" i="8"/>
  <c r="X298" i="6"/>
  <c r="F298" i="8"/>
  <c r="X373" i="6"/>
  <c r="X373" i="8" s="1"/>
  <c r="F373" i="8"/>
  <c r="X370" i="6"/>
  <c r="X370" i="8" s="1"/>
  <c r="F370" i="8"/>
  <c r="X401" i="6"/>
  <c r="F401" i="8"/>
  <c r="AA402" i="6"/>
  <c r="H402" i="8"/>
  <c r="AA390" i="6"/>
  <c r="H390" i="8"/>
  <c r="AA386" i="6"/>
  <c r="H386" i="8"/>
  <c r="AA459" i="6"/>
  <c r="H459" i="8"/>
  <c r="X443" i="6"/>
  <c r="X443" i="8" s="1"/>
  <c r="F443" i="8"/>
  <c r="G484" i="6"/>
  <c r="G484" i="8" s="1"/>
  <c r="F465" i="8"/>
  <c r="AA471" i="6"/>
  <c r="H471" i="8"/>
  <c r="AA472" i="6"/>
  <c r="H472" i="8"/>
  <c r="AA470" i="6"/>
  <c r="H470" i="8"/>
  <c r="AA538" i="6"/>
  <c r="H538" i="8"/>
  <c r="AB517" i="6"/>
  <c r="AB517" i="8" s="1"/>
  <c r="AA517" i="8"/>
  <c r="X438" i="6"/>
  <c r="F438" i="8"/>
  <c r="AA599" i="6"/>
  <c r="H599" i="8"/>
  <c r="X589" i="6"/>
  <c r="F589" i="8"/>
  <c r="AA610" i="6"/>
  <c r="H610" i="8"/>
  <c r="X666" i="6"/>
  <c r="F666" i="8"/>
  <c r="X669" i="6"/>
  <c r="F669" i="8"/>
  <c r="X578" i="6"/>
  <c r="F578" i="8"/>
  <c r="X650" i="6"/>
  <c r="F650" i="8"/>
  <c r="AA723" i="6"/>
  <c r="H723" i="8"/>
  <c r="X584" i="6"/>
  <c r="F584" i="8"/>
  <c r="X88" i="6"/>
  <c r="X88" i="8" s="1"/>
  <c r="F88" i="8"/>
  <c r="AA740" i="6"/>
  <c r="H740" i="8"/>
  <c r="AA93" i="6"/>
  <c r="AA93" i="8" s="1"/>
  <c r="H93" i="8"/>
  <c r="X116" i="6"/>
  <c r="F116" i="8"/>
  <c r="AA119" i="6"/>
  <c r="H119" i="8"/>
  <c r="AA120" i="6"/>
  <c r="H120" i="8"/>
  <c r="X169" i="6"/>
  <c r="X169" i="8" s="1"/>
  <c r="F169" i="8"/>
  <c r="X176" i="6"/>
  <c r="F176" i="8"/>
  <c r="X261" i="6"/>
  <c r="F261" i="8"/>
  <c r="Y234" i="6"/>
  <c r="Y234" i="8" s="1"/>
  <c r="X234" i="8"/>
  <c r="AA188" i="6"/>
  <c r="H188" i="8"/>
  <c r="X230" i="6"/>
  <c r="X230" i="8" s="1"/>
  <c r="F230" i="8"/>
  <c r="AA246" i="6"/>
  <c r="H246" i="8"/>
  <c r="AA259" i="6"/>
  <c r="H259" i="8"/>
  <c r="X229" i="6"/>
  <c r="F229" i="8"/>
  <c r="AA370" i="6"/>
  <c r="AA370" i="8" s="1"/>
  <c r="H370" i="8"/>
  <c r="AA385" i="6"/>
  <c r="H385" i="8"/>
  <c r="AA332" i="6"/>
  <c r="H332" i="8"/>
  <c r="AA400" i="6"/>
  <c r="H400" i="8"/>
  <c r="AA379" i="6"/>
  <c r="AA379" i="8" s="1"/>
  <c r="H379" i="8"/>
  <c r="AA455" i="6"/>
  <c r="H455" i="8"/>
  <c r="AA443" i="6"/>
  <c r="AA443" i="8" s="1"/>
  <c r="H443" i="8"/>
  <c r="X460" i="6"/>
  <c r="F460" i="8"/>
  <c r="X536" i="6"/>
  <c r="F536" i="8"/>
  <c r="X509" i="6"/>
  <c r="F509" i="8"/>
  <c r="AA468" i="6"/>
  <c r="H468" i="8"/>
  <c r="AA510" i="6"/>
  <c r="H510" i="8"/>
  <c r="AA591" i="6"/>
  <c r="H591" i="8"/>
  <c r="AA586" i="6"/>
  <c r="AA585" i="6" s="1"/>
  <c r="AA585" i="8" s="1"/>
  <c r="H586" i="8"/>
  <c r="X580" i="6"/>
  <c r="F580" i="8"/>
  <c r="AA678" i="6"/>
  <c r="H678" i="8"/>
  <c r="AA649" i="6"/>
  <c r="H649" i="8"/>
  <c r="AB666" i="6"/>
  <c r="AB666" i="8" s="1"/>
  <c r="AA666" i="8"/>
  <c r="AA611" i="6"/>
  <c r="H611" i="8"/>
  <c r="X720" i="6"/>
  <c r="F720" i="8"/>
  <c r="AB237" i="6"/>
  <c r="AB237" i="8" s="1"/>
  <c r="AA237" i="8"/>
  <c r="AB97" i="6"/>
  <c r="AB97" i="8" s="1"/>
  <c r="AA97" i="8"/>
  <c r="AB377" i="6"/>
  <c r="AB377" i="8" s="1"/>
  <c r="AA377" i="8"/>
  <c r="Y311" i="6"/>
  <c r="Y311" i="8" s="1"/>
  <c r="X311" i="8"/>
  <c r="Y171" i="6"/>
  <c r="Y171" i="8" s="1"/>
  <c r="X171" i="8"/>
  <c r="AA89" i="6"/>
  <c r="AA89" i="8" s="1"/>
  <c r="H89" i="8"/>
  <c r="X89" i="6"/>
  <c r="F89" i="8"/>
  <c r="Y97" i="6"/>
  <c r="Y97" i="8" s="1"/>
  <c r="X97" i="8"/>
  <c r="X122" i="6"/>
  <c r="F122" i="8"/>
  <c r="X121" i="6"/>
  <c r="F121" i="8"/>
  <c r="Y94" i="6"/>
  <c r="Y94" i="8" s="1"/>
  <c r="X94" i="8"/>
  <c r="X106" i="6"/>
  <c r="F106" i="8"/>
  <c r="X91" i="6"/>
  <c r="F91" i="8"/>
  <c r="X729" i="6"/>
  <c r="F729" i="8"/>
  <c r="AA122" i="6"/>
  <c r="H122" i="8"/>
  <c r="AA729" i="6"/>
  <c r="H729" i="8"/>
  <c r="AB665" i="6"/>
  <c r="AB665" i="8" s="1"/>
  <c r="AA665" i="8"/>
  <c r="AA175" i="6"/>
  <c r="H175" i="8"/>
  <c r="X179" i="6"/>
  <c r="F179" i="8"/>
  <c r="AA180" i="6"/>
  <c r="H180" i="8"/>
  <c r="X163" i="6"/>
  <c r="X163" i="8" s="1"/>
  <c r="F163" i="8"/>
  <c r="AA229" i="6"/>
  <c r="H229" i="8"/>
  <c r="Y247" i="6"/>
  <c r="Y247" i="8" s="1"/>
  <c r="X247" i="8"/>
  <c r="X228" i="6"/>
  <c r="F228" i="8"/>
  <c r="X262" i="6"/>
  <c r="F262" i="8"/>
  <c r="AA233" i="6"/>
  <c r="AA233" i="8" s="1"/>
  <c r="H233" i="8"/>
  <c r="AA190" i="6"/>
  <c r="H190" i="8"/>
  <c r="X249" i="6"/>
  <c r="F249" i="8"/>
  <c r="X250" i="6"/>
  <c r="F250" i="8"/>
  <c r="AA245" i="6"/>
  <c r="AA245" i="8" s="1"/>
  <c r="H245" i="8"/>
  <c r="AA262" i="6"/>
  <c r="H262" i="8"/>
  <c r="X237" i="6"/>
  <c r="F237" i="8"/>
  <c r="AB247" i="6"/>
  <c r="AB247" i="8" s="1"/>
  <c r="AA247" i="8"/>
  <c r="AA300" i="6"/>
  <c r="AA300" i="8" s="1"/>
  <c r="H300" i="8"/>
  <c r="X303" i="6"/>
  <c r="X303" i="8" s="1"/>
  <c r="F303" i="8"/>
  <c r="X300" i="6"/>
  <c r="F300" i="8"/>
  <c r="AA369" i="6"/>
  <c r="H369" i="8"/>
  <c r="Y387" i="6"/>
  <c r="Y387" i="8" s="1"/>
  <c r="X387" i="8"/>
  <c r="X368" i="6"/>
  <c r="F368" i="8"/>
  <c r="X402" i="6"/>
  <c r="F402" i="8"/>
  <c r="X379" i="6"/>
  <c r="X379" i="8" s="1"/>
  <c r="F379" i="8"/>
  <c r="X326" i="6"/>
  <c r="F326" i="8"/>
  <c r="X377" i="6"/>
  <c r="F377" i="8"/>
  <c r="X369" i="6"/>
  <c r="F369" i="8"/>
  <c r="AA389" i="6"/>
  <c r="H389" i="8"/>
  <c r="AA328" i="6"/>
  <c r="H328" i="8"/>
  <c r="G344" i="6"/>
  <c r="G344" i="8" s="1"/>
  <c r="F325" i="8"/>
  <c r="AB447" i="6"/>
  <c r="AB447" i="8" s="1"/>
  <c r="AA460" i="6"/>
  <c r="H460" i="8"/>
  <c r="AA440" i="6"/>
  <c r="H440" i="8"/>
  <c r="Y457" i="6"/>
  <c r="Y457" i="8" s="1"/>
  <c r="X457" i="8"/>
  <c r="X449" i="6"/>
  <c r="X449" i="8" s="1"/>
  <c r="F449" i="8"/>
  <c r="AA456" i="6"/>
  <c r="H456" i="8"/>
  <c r="X513" i="6"/>
  <c r="X513" i="8" s="1"/>
  <c r="F513" i="8"/>
  <c r="X510" i="6"/>
  <c r="F510" i="8"/>
  <c r="AA526" i="6"/>
  <c r="H526" i="8"/>
  <c r="AA525" i="6"/>
  <c r="H525" i="8"/>
  <c r="X541" i="6"/>
  <c r="F541" i="8"/>
  <c r="AA541" i="6"/>
  <c r="H541" i="8"/>
  <c r="AA542" i="6"/>
  <c r="H542" i="8"/>
  <c r="AA539" i="6"/>
  <c r="H539" i="8"/>
  <c r="AA540" i="6"/>
  <c r="H540" i="8"/>
  <c r="AB527" i="6"/>
  <c r="AB527" i="8" s="1"/>
  <c r="AA527" i="8"/>
  <c r="AA519" i="6"/>
  <c r="AA519" i="8" s="1"/>
  <c r="H519" i="8"/>
  <c r="AA509" i="6"/>
  <c r="AA509" i="8" s="1"/>
  <c r="H509" i="8"/>
  <c r="Y527" i="6"/>
  <c r="Y527" i="8" s="1"/>
  <c r="X527" i="8"/>
  <c r="X508" i="6"/>
  <c r="X508" i="8" s="1"/>
  <c r="F508" i="8"/>
  <c r="X542" i="6"/>
  <c r="F542" i="8"/>
  <c r="AA595" i="6"/>
  <c r="H595" i="8"/>
  <c r="AA589" i="6"/>
  <c r="H589" i="8"/>
  <c r="AA600" i="6"/>
  <c r="H600" i="8"/>
  <c r="Y597" i="6"/>
  <c r="Y597" i="8" s="1"/>
  <c r="X597" i="8"/>
  <c r="X586" i="6"/>
  <c r="F586" i="8"/>
  <c r="AA680" i="6"/>
  <c r="H680" i="8"/>
  <c r="X660" i="6"/>
  <c r="X660" i="8" s="1"/>
  <c r="F660" i="8"/>
  <c r="X681" i="6"/>
  <c r="F681" i="8"/>
  <c r="AB656" i="6"/>
  <c r="AB656" i="8" s="1"/>
  <c r="AA656" i="8"/>
  <c r="X648" i="6"/>
  <c r="F648" i="8"/>
  <c r="X682" i="6"/>
  <c r="F682" i="8"/>
  <c r="G624" i="6"/>
  <c r="G624" i="8" s="1"/>
  <c r="F605" i="8"/>
  <c r="X606" i="6"/>
  <c r="F606" i="8"/>
  <c r="AA612" i="6"/>
  <c r="H612" i="8"/>
  <c r="AB670" i="6"/>
  <c r="AB670" i="8" s="1"/>
  <c r="AA670" i="8"/>
  <c r="AA661" i="6"/>
  <c r="H661" i="8"/>
  <c r="AA664" i="6"/>
  <c r="H664" i="8"/>
  <c r="Y731" i="6"/>
  <c r="Y731" i="8" s="1"/>
  <c r="X731" i="8"/>
  <c r="X737" i="6"/>
  <c r="F737" i="8"/>
  <c r="AB307" i="6"/>
  <c r="AB307" i="8" s="1"/>
  <c r="AA307" i="8"/>
  <c r="Y241" i="6"/>
  <c r="Y241" i="8" s="1"/>
  <c r="X241" i="8"/>
  <c r="Y451" i="6"/>
  <c r="Y451" i="8" s="1"/>
  <c r="X451" i="8"/>
  <c r="Y381" i="6"/>
  <c r="Y381" i="8" s="1"/>
  <c r="X381" i="8"/>
  <c r="AB167" i="6"/>
  <c r="AB167" i="8" s="1"/>
  <c r="AA167" i="8"/>
  <c r="Y101" i="6"/>
  <c r="Y101" i="8" s="1"/>
  <c r="X101" i="8"/>
  <c r="Y591" i="6"/>
  <c r="Y591" i="8" s="1"/>
  <c r="X591" i="8"/>
  <c r="X317" i="6"/>
  <c r="H725" i="6"/>
  <c r="H725" i="8" s="1"/>
  <c r="AA317" i="6"/>
  <c r="F722" i="6"/>
  <c r="F722" i="8" s="1"/>
  <c r="H663" i="6"/>
  <c r="H663" i="8" s="1"/>
  <c r="X723" i="6"/>
  <c r="H722" i="6"/>
  <c r="H722" i="8" s="1"/>
  <c r="H624" i="6"/>
  <c r="H624" i="8" s="1"/>
  <c r="X605" i="6"/>
  <c r="F647" i="6"/>
  <c r="F647" i="8" s="1"/>
  <c r="H658" i="6"/>
  <c r="H658" i="8" s="1"/>
  <c r="H652" i="6"/>
  <c r="H652" i="8" s="1"/>
  <c r="AA607" i="6"/>
  <c r="X651" i="6"/>
  <c r="O733" i="6"/>
  <c r="O733" i="8" s="1"/>
  <c r="AB660" i="6"/>
  <c r="AB660" i="8" s="1"/>
  <c r="H484" i="6"/>
  <c r="H484" i="8" s="1"/>
  <c r="H515" i="6"/>
  <c r="H515" i="8" s="1"/>
  <c r="F655" i="6"/>
  <c r="F655" i="8" s="1"/>
  <c r="X656" i="6"/>
  <c r="G694" i="6"/>
  <c r="G694" i="8" s="1"/>
  <c r="X675" i="6"/>
  <c r="X675" i="8" s="1"/>
  <c r="F663" i="6"/>
  <c r="F663" i="8" s="1"/>
  <c r="H647" i="6"/>
  <c r="H647" i="8" s="1"/>
  <c r="H585" i="6"/>
  <c r="H585" i="8" s="1"/>
  <c r="F652" i="6"/>
  <c r="F652" i="8" s="1"/>
  <c r="F658" i="6"/>
  <c r="F658" i="8" s="1"/>
  <c r="H694" i="6"/>
  <c r="H694" i="8" s="1"/>
  <c r="AA677" i="6"/>
  <c r="AA677" i="8" s="1"/>
  <c r="H593" i="6"/>
  <c r="H593" i="8" s="1"/>
  <c r="AA594" i="6"/>
  <c r="AA594" i="8" s="1"/>
  <c r="F588" i="6"/>
  <c r="F588" i="8" s="1"/>
  <c r="X590" i="6"/>
  <c r="X590" i="8" s="1"/>
  <c r="F585" i="6"/>
  <c r="F585" i="8" s="1"/>
  <c r="X587" i="6"/>
  <c r="X587" i="8" s="1"/>
  <c r="F577" i="6"/>
  <c r="F577" i="8" s="1"/>
  <c r="X581" i="6"/>
  <c r="X581" i="8" s="1"/>
  <c r="H577" i="6"/>
  <c r="H577" i="8" s="1"/>
  <c r="AA581" i="6"/>
  <c r="F593" i="6"/>
  <c r="F593" i="8" s="1"/>
  <c r="X595" i="6"/>
  <c r="X595" i="8" s="1"/>
  <c r="H582" i="6"/>
  <c r="H582" i="8" s="1"/>
  <c r="AA584" i="6"/>
  <c r="AA584" i="8" s="1"/>
  <c r="F582" i="6"/>
  <c r="F582" i="8" s="1"/>
  <c r="H588" i="6"/>
  <c r="H588" i="8" s="1"/>
  <c r="AA590" i="6"/>
  <c r="AA590" i="8" s="1"/>
  <c r="F515" i="6"/>
  <c r="F515" i="8" s="1"/>
  <c r="X516" i="6"/>
  <c r="X516" i="8" s="1"/>
  <c r="F442" i="6"/>
  <c r="F442" i="8" s="1"/>
  <c r="X465" i="6"/>
  <c r="H523" i="6"/>
  <c r="H523" i="8" s="1"/>
  <c r="AA524" i="6"/>
  <c r="AA524" i="8" s="1"/>
  <c r="F518" i="6"/>
  <c r="F518" i="8" s="1"/>
  <c r="X520" i="6"/>
  <c r="F523" i="6"/>
  <c r="F523" i="8" s="1"/>
  <c r="X525" i="6"/>
  <c r="X525" i="8" s="1"/>
  <c r="H512" i="6"/>
  <c r="H512" i="8" s="1"/>
  <c r="AA514" i="6"/>
  <c r="H554" i="6"/>
  <c r="H554" i="8" s="1"/>
  <c r="AA537" i="6"/>
  <c r="AA537" i="8" s="1"/>
  <c r="H507" i="6"/>
  <c r="H507" i="8" s="1"/>
  <c r="AA511" i="6"/>
  <c r="F512" i="6"/>
  <c r="F512" i="8" s="1"/>
  <c r="G204" i="6"/>
  <c r="G204" i="8" s="1"/>
  <c r="H204" i="6"/>
  <c r="H204" i="8" s="1"/>
  <c r="G554" i="6"/>
  <c r="G554" i="8" s="1"/>
  <c r="X535" i="6"/>
  <c r="X535" i="8" s="1"/>
  <c r="H518" i="6"/>
  <c r="H518" i="8" s="1"/>
  <c r="AA520" i="6"/>
  <c r="F507" i="6"/>
  <c r="F507" i="8" s="1"/>
  <c r="X511" i="6"/>
  <c r="F448" i="6"/>
  <c r="F448" i="8" s="1"/>
  <c r="X450" i="6"/>
  <c r="F453" i="6"/>
  <c r="F453" i="8" s="1"/>
  <c r="X455" i="6"/>
  <c r="X455" i="8" s="1"/>
  <c r="H437" i="6"/>
  <c r="H437" i="8" s="1"/>
  <c r="AA441" i="6"/>
  <c r="AA441" i="8" s="1"/>
  <c r="F437" i="6"/>
  <c r="F437" i="8" s="1"/>
  <c r="X441" i="6"/>
  <c r="H445" i="6"/>
  <c r="H445" i="8" s="1"/>
  <c r="AA446" i="6"/>
  <c r="AA446" i="8" s="1"/>
  <c r="H453" i="6"/>
  <c r="H453" i="8" s="1"/>
  <c r="AA454" i="6"/>
  <c r="AA454" i="8" s="1"/>
  <c r="H344" i="6"/>
  <c r="H344" i="8" s="1"/>
  <c r="H448" i="6"/>
  <c r="H448" i="8" s="1"/>
  <c r="AA450" i="6"/>
  <c r="H442" i="6"/>
  <c r="H442" i="8" s="1"/>
  <c r="AA444" i="6"/>
  <c r="F445" i="6"/>
  <c r="F445" i="8" s="1"/>
  <c r="X446" i="6"/>
  <c r="X446" i="8" s="1"/>
  <c r="F728" i="6"/>
  <c r="F728" i="8" s="1"/>
  <c r="H414" i="6"/>
  <c r="H414" i="8" s="1"/>
  <c r="AA397" i="6"/>
  <c r="AA397" i="8" s="1"/>
  <c r="F302" i="6"/>
  <c r="F302" i="8" s="1"/>
  <c r="X325" i="6"/>
  <c r="H383" i="6"/>
  <c r="H383" i="8" s="1"/>
  <c r="AA384" i="6"/>
  <c r="AA384" i="8" s="1"/>
  <c r="F378" i="6"/>
  <c r="F378" i="8" s="1"/>
  <c r="X380" i="6"/>
  <c r="F383" i="6"/>
  <c r="F383" i="8" s="1"/>
  <c r="X385" i="6"/>
  <c r="X385" i="8" s="1"/>
  <c r="F375" i="6"/>
  <c r="F375" i="8" s="1"/>
  <c r="X376" i="6"/>
  <c r="X376" i="8" s="1"/>
  <c r="G414" i="6"/>
  <c r="G414" i="8" s="1"/>
  <c r="X395" i="6"/>
  <c r="X395" i="8" s="1"/>
  <c r="H375" i="6"/>
  <c r="H375" i="8" s="1"/>
  <c r="AA376" i="6"/>
  <c r="AA376" i="8" s="1"/>
  <c r="H378" i="6"/>
  <c r="H378" i="8" s="1"/>
  <c r="AA380" i="6"/>
  <c r="F372" i="6"/>
  <c r="F372" i="8" s="1"/>
  <c r="H372" i="6"/>
  <c r="H372" i="8" s="1"/>
  <c r="AA374" i="6"/>
  <c r="H308" i="6"/>
  <c r="H308" i="8" s="1"/>
  <c r="AA310" i="6"/>
  <c r="X736" i="6"/>
  <c r="F313" i="6"/>
  <c r="F313" i="8" s="1"/>
  <c r="X315" i="6"/>
  <c r="X315" i="8" s="1"/>
  <c r="H302" i="6"/>
  <c r="H302" i="8" s="1"/>
  <c r="AA304" i="6"/>
  <c r="H305" i="6"/>
  <c r="H305" i="8" s="1"/>
  <c r="AA306" i="6"/>
  <c r="AA306" i="8" s="1"/>
  <c r="F297" i="6"/>
  <c r="F297" i="8" s="1"/>
  <c r="X301" i="6"/>
  <c r="X301" i="8" s="1"/>
  <c r="H313" i="6"/>
  <c r="H313" i="8" s="1"/>
  <c r="AA314" i="6"/>
  <c r="F308" i="6"/>
  <c r="F308" i="8" s="1"/>
  <c r="X310" i="6"/>
  <c r="F305" i="6"/>
  <c r="F305" i="8" s="1"/>
  <c r="X306" i="6"/>
  <c r="X306" i="8" s="1"/>
  <c r="H232" i="6"/>
  <c r="H232" i="8" s="1"/>
  <c r="AA234" i="6"/>
  <c r="H238" i="6"/>
  <c r="H238" i="8" s="1"/>
  <c r="AA240" i="6"/>
  <c r="F232" i="6"/>
  <c r="F232" i="8" s="1"/>
  <c r="AA187" i="6"/>
  <c r="F235" i="6"/>
  <c r="F235" i="8" s="1"/>
  <c r="X236" i="6"/>
  <c r="X236" i="8" s="1"/>
  <c r="G274" i="6"/>
  <c r="G274" i="8" s="1"/>
  <c r="X255" i="6"/>
  <c r="X255" i="8" s="1"/>
  <c r="H235" i="6"/>
  <c r="H235" i="8" s="1"/>
  <c r="AA236" i="6"/>
  <c r="AA236" i="8" s="1"/>
  <c r="H274" i="6"/>
  <c r="H274" i="8" s="1"/>
  <c r="AA257" i="6"/>
  <c r="AA257" i="8" s="1"/>
  <c r="F238" i="6"/>
  <c r="F238" i="8" s="1"/>
  <c r="X240" i="6"/>
  <c r="H243" i="6"/>
  <c r="H243" i="8" s="1"/>
  <c r="AA244" i="6"/>
  <c r="F243" i="6"/>
  <c r="F243" i="8" s="1"/>
  <c r="X245" i="6"/>
  <c r="X245" i="8" s="1"/>
  <c r="F168" i="6"/>
  <c r="F168" i="8" s="1"/>
  <c r="X170" i="6"/>
  <c r="AA166" i="6"/>
  <c r="AA166" i="8" s="1"/>
  <c r="H165" i="6"/>
  <c r="H165" i="8" s="1"/>
  <c r="AA174" i="6"/>
  <c r="AA174" i="8" s="1"/>
  <c r="H173" i="6"/>
  <c r="H173" i="8" s="1"/>
  <c r="H162" i="6"/>
  <c r="H162" i="8" s="1"/>
  <c r="AA164" i="6"/>
  <c r="BE84" i="2"/>
  <c r="BE88" i="2" s="1"/>
  <c r="BE90" i="2" s="1"/>
  <c r="BE91" i="2" s="1"/>
  <c r="F173" i="6"/>
  <c r="F173" i="8" s="1"/>
  <c r="X175" i="6"/>
  <c r="X175" i="8" s="1"/>
  <c r="F162" i="6"/>
  <c r="F162" i="8" s="1"/>
  <c r="H168" i="6"/>
  <c r="H168" i="8" s="1"/>
  <c r="AA170" i="6"/>
  <c r="F165" i="6"/>
  <c r="F165" i="8" s="1"/>
  <c r="X166" i="6"/>
  <c r="X166" i="8" s="1"/>
  <c r="F725" i="6"/>
  <c r="F725" i="8" s="1"/>
  <c r="H728" i="6"/>
  <c r="H728" i="8" s="1"/>
  <c r="X740" i="6"/>
  <c r="X745" i="6"/>
  <c r="AA96" i="6"/>
  <c r="AA96" i="8" s="1"/>
  <c r="H95" i="6"/>
  <c r="H95" i="8" s="1"/>
  <c r="H134" i="6"/>
  <c r="H134" i="8" s="1"/>
  <c r="AA117" i="6"/>
  <c r="AA117" i="8" s="1"/>
  <c r="F98" i="6"/>
  <c r="F98" i="8" s="1"/>
  <c r="X100" i="6"/>
  <c r="H764" i="6"/>
  <c r="H764" i="8" s="1"/>
  <c r="F92" i="6"/>
  <c r="F92" i="8" s="1"/>
  <c r="G134" i="6"/>
  <c r="G134" i="8" s="1"/>
  <c r="X115" i="6"/>
  <c r="X115" i="8" s="1"/>
  <c r="AA104" i="6"/>
  <c r="AA104" i="8" s="1"/>
  <c r="H103" i="6"/>
  <c r="H103" i="8" s="1"/>
  <c r="H92" i="6"/>
  <c r="H92" i="8" s="1"/>
  <c r="AA94" i="6"/>
  <c r="X96" i="6"/>
  <c r="X96" i="8" s="1"/>
  <c r="F95" i="6"/>
  <c r="F95" i="8" s="1"/>
  <c r="F103" i="6"/>
  <c r="F103" i="8" s="1"/>
  <c r="X105" i="6"/>
  <c r="X105" i="8" s="1"/>
  <c r="H98" i="6"/>
  <c r="H98" i="8" s="1"/>
  <c r="AA100" i="6"/>
  <c r="AA726" i="6"/>
  <c r="X726" i="6"/>
  <c r="BA88" i="2"/>
  <c r="BA90" i="2" s="1"/>
  <c r="BA91" i="2" s="1"/>
  <c r="H733" i="6"/>
  <c r="H733" i="8" s="1"/>
  <c r="AA735" i="6"/>
  <c r="AA736" i="6"/>
  <c r="X735" i="6"/>
  <c r="Q733" i="6"/>
  <c r="Q733" i="8" s="1"/>
  <c r="F733" i="6"/>
  <c r="F733" i="8" s="1"/>
  <c r="BF84" i="2"/>
  <c r="BF88" i="2" s="1"/>
  <c r="BF90" i="2" s="1"/>
  <c r="BF91" i="2" s="1"/>
  <c r="F87" i="6"/>
  <c r="F87" i="8" s="1"/>
  <c r="BK46" i="2"/>
  <c r="BK83" i="2" s="1"/>
  <c r="H87" i="6"/>
  <c r="H87" i="8" s="1"/>
  <c r="BJ46" i="2"/>
  <c r="BJ83" i="2" s="1"/>
  <c r="H717" i="6"/>
  <c r="H717" i="8" s="1"/>
  <c r="AA719" i="6"/>
  <c r="F717" i="6"/>
  <c r="F717" i="8" s="1"/>
  <c r="X718" i="6"/>
  <c r="O717" i="6"/>
  <c r="O717" i="8" s="1"/>
  <c r="X721" i="6"/>
  <c r="X721" i="8" s="1"/>
  <c r="O722" i="6"/>
  <c r="O722" i="8" s="1"/>
  <c r="X724" i="6"/>
  <c r="X724" i="8" s="1"/>
  <c r="Q725" i="6"/>
  <c r="Q725" i="8" s="1"/>
  <c r="AA727" i="6"/>
  <c r="AA727" i="8" s="1"/>
  <c r="AB651" i="6"/>
  <c r="AB651" i="8" s="1"/>
  <c r="AB654" i="6"/>
  <c r="AB654" i="8" s="1"/>
  <c r="O728" i="6"/>
  <c r="O728" i="8" s="1"/>
  <c r="X730" i="6"/>
  <c r="X730" i="8" s="1"/>
  <c r="Q722" i="6"/>
  <c r="Q722" i="8" s="1"/>
  <c r="AA724" i="6"/>
  <c r="AA724" i="8" s="1"/>
  <c r="Q728" i="6"/>
  <c r="Q728" i="8" s="1"/>
  <c r="AA730" i="6"/>
  <c r="AA730" i="8" s="1"/>
  <c r="Q717" i="6"/>
  <c r="Q717" i="8" s="1"/>
  <c r="AA721" i="6"/>
  <c r="AA721" i="8" s="1"/>
  <c r="O725" i="6"/>
  <c r="O725" i="8" s="1"/>
  <c r="X727" i="6"/>
  <c r="X727" i="8" s="1"/>
  <c r="AB657" i="6"/>
  <c r="AB657" i="8" s="1"/>
  <c r="AA655" i="6"/>
  <c r="AA655" i="8" s="1"/>
  <c r="AA108" i="8" l="1"/>
  <c r="AB108" i="6"/>
  <c r="AB108" i="8" s="1"/>
  <c r="X108" i="8"/>
  <c r="Y108" i="6"/>
  <c r="Y108" i="8" s="1"/>
  <c r="X107" i="8"/>
  <c r="X667" i="8"/>
  <c r="Y233" i="6"/>
  <c r="Y233" i="8" s="1"/>
  <c r="AA737" i="8"/>
  <c r="AA647" i="6"/>
  <c r="AA647" i="8" s="1"/>
  <c r="AA107" i="8"/>
  <c r="Y88" i="6"/>
  <c r="Y88" i="8" s="1"/>
  <c r="X304" i="8"/>
  <c r="Y657" i="6"/>
  <c r="Y657" i="8" s="1"/>
  <c r="Y239" i="6"/>
  <c r="Y239" i="8" s="1"/>
  <c r="AB245" i="6"/>
  <c r="AB245" i="8" s="1"/>
  <c r="AB315" i="6"/>
  <c r="AB315" i="8" s="1"/>
  <c r="X372" i="6"/>
  <c r="X372" i="8" s="1"/>
  <c r="T86" i="5"/>
  <c r="T85" i="5"/>
  <c r="AB163" i="6"/>
  <c r="AB163" i="8" s="1"/>
  <c r="Y185" i="6"/>
  <c r="Y185" i="8" s="1"/>
  <c r="X652" i="6"/>
  <c r="X652" i="8" s="1"/>
  <c r="X658" i="6"/>
  <c r="X658" i="8" s="1"/>
  <c r="X87" i="6"/>
  <c r="X87" i="8" s="1"/>
  <c r="Z204" i="6"/>
  <c r="AG179" i="6" s="1"/>
  <c r="AB467" i="6"/>
  <c r="AB467" i="8" s="1"/>
  <c r="AB99" i="6"/>
  <c r="AB99" i="8" s="1"/>
  <c r="Y373" i="6"/>
  <c r="Y373" i="8" s="1"/>
  <c r="AB484" i="6"/>
  <c r="AH459" i="6" s="1"/>
  <c r="AB449" i="6"/>
  <c r="AB449" i="8" s="1"/>
  <c r="Y654" i="6"/>
  <c r="Y654" i="8" s="1"/>
  <c r="Y99" i="6"/>
  <c r="Y99" i="8" s="1"/>
  <c r="AB233" i="6"/>
  <c r="AB233" i="8" s="1"/>
  <c r="Y303" i="6"/>
  <c r="Y303" i="8" s="1"/>
  <c r="AB373" i="6"/>
  <c r="AB373" i="8" s="1"/>
  <c r="AB624" i="6"/>
  <c r="AH599" i="6" s="1"/>
  <c r="S86" i="5"/>
  <c r="S85" i="5"/>
  <c r="AB327" i="6"/>
  <c r="AB327" i="8" s="1"/>
  <c r="Y309" i="6"/>
  <c r="Y309" i="8" s="1"/>
  <c r="AB764" i="6"/>
  <c r="AH739" i="6" s="1"/>
  <c r="AB169" i="6"/>
  <c r="AB169" i="8" s="1"/>
  <c r="Y665" i="6"/>
  <c r="Y665" i="8" s="1"/>
  <c r="AB344" i="6"/>
  <c r="AH319" i="6" s="1"/>
  <c r="Y508" i="6"/>
  <c r="Y508" i="8" s="1"/>
  <c r="Y163" i="6"/>
  <c r="Y163" i="8" s="1"/>
  <c r="X442" i="6"/>
  <c r="X442" i="8" s="1"/>
  <c r="X582" i="6"/>
  <c r="X582" i="8" s="1"/>
  <c r="AA87" i="6"/>
  <c r="AA87" i="8" s="1"/>
  <c r="AB93" i="6"/>
  <c r="AB93" i="8" s="1"/>
  <c r="X92" i="6"/>
  <c r="X92" i="8" s="1"/>
  <c r="X232" i="6"/>
  <c r="X232" i="8" s="1"/>
  <c r="AB239" i="6"/>
  <c r="AB239" i="8" s="1"/>
  <c r="AB309" i="6"/>
  <c r="AB309" i="8" s="1"/>
  <c r="AB513" i="6"/>
  <c r="AB513" i="8" s="1"/>
  <c r="AB89" i="6"/>
  <c r="AB89" i="8" s="1"/>
  <c r="X162" i="6"/>
  <c r="X162" i="8" s="1"/>
  <c r="X302" i="6"/>
  <c r="X302" i="8" s="1"/>
  <c r="AB303" i="6"/>
  <c r="AB303" i="8" s="1"/>
  <c r="Y519" i="6"/>
  <c r="Y519" i="8" s="1"/>
  <c r="AB161" i="6"/>
  <c r="AB161" i="8" s="1"/>
  <c r="X663" i="6"/>
  <c r="X663" i="8" s="1"/>
  <c r="AB747" i="6"/>
  <c r="AB747" i="8" s="1"/>
  <c r="Y93" i="6"/>
  <c r="Y93" i="8" s="1"/>
  <c r="Y169" i="6"/>
  <c r="Y169" i="8" s="1"/>
  <c r="AB379" i="6"/>
  <c r="AB379" i="8" s="1"/>
  <c r="Y379" i="6"/>
  <c r="Y379" i="8" s="1"/>
  <c r="AB443" i="6"/>
  <c r="AB443" i="8" s="1"/>
  <c r="Y443" i="6"/>
  <c r="Y443" i="8" s="1"/>
  <c r="Y449" i="6"/>
  <c r="Y449" i="8" s="1"/>
  <c r="AA515" i="6"/>
  <c r="AA515" i="8" s="1"/>
  <c r="AB519" i="6"/>
  <c r="AB519" i="8" s="1"/>
  <c r="X512" i="6"/>
  <c r="X512" i="8" s="1"/>
  <c r="AB516" i="6"/>
  <c r="AB516" i="8" s="1"/>
  <c r="Y726" i="6"/>
  <c r="Y726" i="8" s="1"/>
  <c r="X726" i="8"/>
  <c r="Y100" i="6"/>
  <c r="Y100" i="8" s="1"/>
  <c r="X100" i="8"/>
  <c r="AB234" i="6"/>
  <c r="AB234" i="8" s="1"/>
  <c r="AA234" i="8"/>
  <c r="AB314" i="6"/>
  <c r="AB314" i="8" s="1"/>
  <c r="AA314" i="8"/>
  <c r="AB310" i="6"/>
  <c r="AB310" i="8" s="1"/>
  <c r="AA310" i="8"/>
  <c r="AB520" i="6"/>
  <c r="AB520" i="8" s="1"/>
  <c r="AA520" i="8"/>
  <c r="AB511" i="6"/>
  <c r="AB511" i="8" s="1"/>
  <c r="AA511" i="8"/>
  <c r="AB514" i="6"/>
  <c r="AB514" i="8" s="1"/>
  <c r="AA514" i="8"/>
  <c r="Y718" i="6"/>
  <c r="Y718" i="8" s="1"/>
  <c r="X718" i="8"/>
  <c r="AB100" i="6"/>
  <c r="AB100" i="8" s="1"/>
  <c r="AA100" i="8"/>
  <c r="AB94" i="6"/>
  <c r="AB94" i="8" s="1"/>
  <c r="AA94" i="8"/>
  <c r="Y740" i="6"/>
  <c r="Y740" i="8" s="1"/>
  <c r="X740" i="8"/>
  <c r="AB170" i="6"/>
  <c r="AB170" i="8" s="1"/>
  <c r="AA170" i="8"/>
  <c r="Y170" i="6"/>
  <c r="Y170" i="8" s="1"/>
  <c r="X170" i="8"/>
  <c r="AB304" i="6"/>
  <c r="AB304" i="8" s="1"/>
  <c r="AA304" i="8"/>
  <c r="Y736" i="6"/>
  <c r="Y736" i="8" s="1"/>
  <c r="X736" i="8"/>
  <c r="AB444" i="6"/>
  <c r="AB444" i="8" s="1"/>
  <c r="AA444" i="8"/>
  <c r="Y450" i="6"/>
  <c r="Y450" i="8" s="1"/>
  <c r="X450" i="8"/>
  <c r="Y511" i="6"/>
  <c r="Y511" i="8" s="1"/>
  <c r="X511" i="8"/>
  <c r="Z484" i="6"/>
  <c r="AG459" i="6" s="1"/>
  <c r="X465" i="8"/>
  <c r="AB581" i="6"/>
  <c r="AA581" i="8"/>
  <c r="Y656" i="6"/>
  <c r="Y656" i="8" s="1"/>
  <c r="X656" i="8"/>
  <c r="AB607" i="6"/>
  <c r="AB607" i="8" s="1"/>
  <c r="AA607" i="8"/>
  <c r="Y317" i="6"/>
  <c r="Y317" i="8" s="1"/>
  <c r="X317" i="8"/>
  <c r="Y737" i="6"/>
  <c r="Y737" i="8" s="1"/>
  <c r="X737" i="8"/>
  <c r="AB664" i="6"/>
  <c r="AA664" i="8"/>
  <c r="Y606" i="6"/>
  <c r="Y606" i="8" s="1"/>
  <c r="X606" i="8"/>
  <c r="Y682" i="6"/>
  <c r="Y682" i="8" s="1"/>
  <c r="X682" i="8"/>
  <c r="Y681" i="6"/>
  <c r="Y681" i="8" s="1"/>
  <c r="X681" i="8"/>
  <c r="AB680" i="6"/>
  <c r="AB680" i="8" s="1"/>
  <c r="AA680" i="8"/>
  <c r="AB589" i="6"/>
  <c r="AB589" i="8" s="1"/>
  <c r="AA589" i="8"/>
  <c r="Y542" i="6"/>
  <c r="Y542" i="8" s="1"/>
  <c r="X542" i="8"/>
  <c r="AB540" i="6"/>
  <c r="AB540" i="8" s="1"/>
  <c r="AA540" i="8"/>
  <c r="AB542" i="6"/>
  <c r="AB542" i="8" s="1"/>
  <c r="AA542" i="8"/>
  <c r="Y541" i="6"/>
  <c r="Y541" i="8" s="1"/>
  <c r="X541" i="8"/>
  <c r="AB526" i="6"/>
  <c r="AB526" i="8" s="1"/>
  <c r="AA526" i="8"/>
  <c r="AB440" i="6"/>
  <c r="AB440" i="8" s="1"/>
  <c r="AA440" i="8"/>
  <c r="Y660" i="6"/>
  <c r="Y660" i="8" s="1"/>
  <c r="Y735" i="6"/>
  <c r="Y735" i="8" s="1"/>
  <c r="X735" i="8"/>
  <c r="AB244" i="6"/>
  <c r="AB244" i="8" s="1"/>
  <c r="AA244" i="8"/>
  <c r="Y240" i="6"/>
  <c r="Y240" i="8" s="1"/>
  <c r="X240" i="8"/>
  <c r="AB187" i="6"/>
  <c r="AB187" i="8" s="1"/>
  <c r="AA187" i="8"/>
  <c r="AB374" i="6"/>
  <c r="AB374" i="8" s="1"/>
  <c r="AA374" i="8"/>
  <c r="Y441" i="6"/>
  <c r="Y441" i="8" s="1"/>
  <c r="X441" i="8"/>
  <c r="Y513" i="6"/>
  <c r="Y513" i="8" s="1"/>
  <c r="AA663" i="6"/>
  <c r="AA663" i="8" s="1"/>
  <c r="Y605" i="6"/>
  <c r="Y605" i="8" s="1"/>
  <c r="X605" i="8"/>
  <c r="Y723" i="6"/>
  <c r="Y723" i="8" s="1"/>
  <c r="X723" i="8"/>
  <c r="AB389" i="6"/>
  <c r="AB389" i="8" s="1"/>
  <c r="AA389" i="8"/>
  <c r="Y377" i="6"/>
  <c r="Y377" i="8" s="1"/>
  <c r="X377" i="8"/>
  <c r="Y368" i="6"/>
  <c r="Y368" i="8" s="1"/>
  <c r="X368" i="8"/>
  <c r="AB369" i="6"/>
  <c r="AB369" i="8" s="1"/>
  <c r="AA369" i="8"/>
  <c r="AB262" i="6"/>
  <c r="AB262" i="8" s="1"/>
  <c r="AA262" i="8"/>
  <c r="Y250" i="6"/>
  <c r="Y250" i="8" s="1"/>
  <c r="X250" i="8"/>
  <c r="AB190" i="6"/>
  <c r="AB190" i="8" s="1"/>
  <c r="AA190" i="8"/>
  <c r="Y262" i="6"/>
  <c r="Y262" i="8" s="1"/>
  <c r="X262" i="8"/>
  <c r="Y179" i="6"/>
  <c r="Y179" i="8" s="1"/>
  <c r="X179" i="8"/>
  <c r="Y729" i="6"/>
  <c r="Y729" i="8" s="1"/>
  <c r="X729" i="8"/>
  <c r="Y106" i="6"/>
  <c r="Y106" i="8" s="1"/>
  <c r="X106" i="8"/>
  <c r="Y121" i="6"/>
  <c r="Y121" i="8" s="1"/>
  <c r="X121" i="8"/>
  <c r="Y720" i="6"/>
  <c r="Y720" i="8" s="1"/>
  <c r="X720" i="8"/>
  <c r="AB678" i="6"/>
  <c r="AB678" i="8" s="1"/>
  <c r="AA678" i="8"/>
  <c r="AB586" i="6"/>
  <c r="AA586" i="8"/>
  <c r="AB510" i="6"/>
  <c r="AB510" i="8" s="1"/>
  <c r="AA510" i="8"/>
  <c r="Y509" i="6"/>
  <c r="Y509" i="8" s="1"/>
  <c r="X509" i="8"/>
  <c r="Y460" i="6"/>
  <c r="Y460" i="8" s="1"/>
  <c r="X460" i="8"/>
  <c r="AB455" i="6"/>
  <c r="AB455" i="8" s="1"/>
  <c r="AA455" i="8"/>
  <c r="AB400" i="6"/>
  <c r="AB400" i="8" s="1"/>
  <c r="AA400" i="8"/>
  <c r="AB385" i="6"/>
  <c r="AB385" i="8" s="1"/>
  <c r="AA385" i="8"/>
  <c r="Y229" i="6"/>
  <c r="Y229" i="8" s="1"/>
  <c r="X229" i="8"/>
  <c r="AB246" i="6"/>
  <c r="AB246" i="8" s="1"/>
  <c r="AA246" i="8"/>
  <c r="AB188" i="6"/>
  <c r="AB188" i="8" s="1"/>
  <c r="AA188" i="8"/>
  <c r="Y261" i="6"/>
  <c r="Y261" i="8" s="1"/>
  <c r="X261" i="8"/>
  <c r="AB120" i="6"/>
  <c r="AB120" i="8" s="1"/>
  <c r="AA120" i="8"/>
  <c r="Y116" i="6"/>
  <c r="Y116" i="8" s="1"/>
  <c r="X116" i="8"/>
  <c r="AB740" i="6"/>
  <c r="AB740" i="8" s="1"/>
  <c r="AA740" i="8"/>
  <c r="Y584" i="6"/>
  <c r="Y584" i="8" s="1"/>
  <c r="X584" i="8"/>
  <c r="Y650" i="6"/>
  <c r="Y650" i="8" s="1"/>
  <c r="X650" i="8"/>
  <c r="Y669" i="6"/>
  <c r="Y669" i="8" s="1"/>
  <c r="X669" i="8"/>
  <c r="AB610" i="6"/>
  <c r="AB610" i="8" s="1"/>
  <c r="AA610" i="8"/>
  <c r="AB599" i="6"/>
  <c r="AB599" i="8" s="1"/>
  <c r="AA599" i="8"/>
  <c r="AB470" i="6"/>
  <c r="AB470" i="8" s="1"/>
  <c r="AA470" i="8"/>
  <c r="AB471" i="6"/>
  <c r="AB471" i="8" s="1"/>
  <c r="AA471" i="8"/>
  <c r="AB386" i="6"/>
  <c r="AB386" i="8" s="1"/>
  <c r="AA386" i="8"/>
  <c r="AB402" i="6"/>
  <c r="AB402" i="8" s="1"/>
  <c r="AA402" i="8"/>
  <c r="Y298" i="6"/>
  <c r="Y298" i="8" s="1"/>
  <c r="X298" i="8"/>
  <c r="AB192" i="6"/>
  <c r="AB192" i="8" s="1"/>
  <c r="AA192" i="8"/>
  <c r="AB258" i="6"/>
  <c r="AB258" i="8" s="1"/>
  <c r="AA258" i="8"/>
  <c r="AB159" i="6"/>
  <c r="AB159" i="8" s="1"/>
  <c r="AA159" i="8"/>
  <c r="Y110" i="6"/>
  <c r="Y110" i="8" s="1"/>
  <c r="X110" i="8"/>
  <c r="AB91" i="6"/>
  <c r="AB91" i="8" s="1"/>
  <c r="AA91" i="8"/>
  <c r="AB720" i="6"/>
  <c r="AB720" i="8" s="1"/>
  <c r="AA720" i="8"/>
  <c r="AB653" i="6"/>
  <c r="AB653" i="8" s="1"/>
  <c r="AA653" i="8"/>
  <c r="AB682" i="6"/>
  <c r="AB682" i="8" s="1"/>
  <c r="AA682" i="8"/>
  <c r="Y653" i="6"/>
  <c r="Y653" i="8" s="1"/>
  <c r="X653" i="8"/>
  <c r="Y659" i="6"/>
  <c r="Y659" i="8" s="1"/>
  <c r="X659" i="8"/>
  <c r="Y579" i="6"/>
  <c r="Y579" i="8" s="1"/>
  <c r="X579" i="8"/>
  <c r="Y600" i="6"/>
  <c r="Y600" i="8" s="1"/>
  <c r="X600" i="8"/>
  <c r="AB580" i="6"/>
  <c r="AB580" i="8" s="1"/>
  <c r="AA580" i="8"/>
  <c r="AB521" i="6"/>
  <c r="AB521" i="8" s="1"/>
  <c r="AA521" i="8"/>
  <c r="Y439" i="6"/>
  <c r="Y439" i="8" s="1"/>
  <c r="X439" i="8"/>
  <c r="Y466" i="6"/>
  <c r="Y466" i="8" s="1"/>
  <c r="X466" i="8"/>
  <c r="Y459" i="6"/>
  <c r="Y459" i="8" s="1"/>
  <c r="X459" i="8"/>
  <c r="Y371" i="6"/>
  <c r="Y371" i="8" s="1"/>
  <c r="X371" i="8"/>
  <c r="Y386" i="6"/>
  <c r="Y386" i="8" s="1"/>
  <c r="X386" i="8"/>
  <c r="AB371" i="6"/>
  <c r="AB371" i="8" s="1"/>
  <c r="AA371" i="8"/>
  <c r="Y307" i="6"/>
  <c r="Y307" i="8" s="1"/>
  <c r="X307" i="8"/>
  <c r="AB250" i="6"/>
  <c r="AB250" i="8" s="1"/>
  <c r="AA250" i="8"/>
  <c r="AB189" i="6"/>
  <c r="AB189" i="8" s="1"/>
  <c r="AA189" i="8"/>
  <c r="Y186" i="6"/>
  <c r="Y186" i="8" s="1"/>
  <c r="X186" i="8"/>
  <c r="AB241" i="6"/>
  <c r="AB241" i="8" s="1"/>
  <c r="AA241" i="8"/>
  <c r="AB260" i="6"/>
  <c r="AB260" i="8" s="1"/>
  <c r="AA260" i="8"/>
  <c r="Y167" i="6"/>
  <c r="Y167" i="8" s="1"/>
  <c r="X167" i="8"/>
  <c r="AB101" i="6"/>
  <c r="AB101" i="8" s="1"/>
  <c r="AA101" i="8"/>
  <c r="AB750" i="6"/>
  <c r="AB750" i="8" s="1"/>
  <c r="AA750" i="8"/>
  <c r="AB751" i="6"/>
  <c r="AB751" i="8" s="1"/>
  <c r="AA751" i="8"/>
  <c r="AB90" i="6"/>
  <c r="AB90" i="8" s="1"/>
  <c r="AA90" i="8"/>
  <c r="Y514" i="6"/>
  <c r="Y514" i="8" s="1"/>
  <c r="X514" i="8"/>
  <c r="AB659" i="6"/>
  <c r="AB659" i="8" s="1"/>
  <c r="AA659" i="8"/>
  <c r="Y583" i="6"/>
  <c r="X583" i="8"/>
  <c r="Y517" i="6"/>
  <c r="Y517" i="8" s="1"/>
  <c r="X517" i="8"/>
  <c r="AB331" i="6"/>
  <c r="AB331" i="8" s="1"/>
  <c r="AA331" i="8"/>
  <c r="Y389" i="6"/>
  <c r="Y389" i="8" s="1"/>
  <c r="X389" i="8"/>
  <c r="Y256" i="6"/>
  <c r="Y256" i="8" s="1"/>
  <c r="X256" i="8"/>
  <c r="AB231" i="6"/>
  <c r="AB231" i="8" s="1"/>
  <c r="AA231" i="8"/>
  <c r="AB171" i="6"/>
  <c r="AB171" i="8" s="1"/>
  <c r="AA171" i="8"/>
  <c r="AB748" i="6"/>
  <c r="AB748" i="8" s="1"/>
  <c r="AA748" i="8"/>
  <c r="AB106" i="6"/>
  <c r="AB106" i="8" s="1"/>
  <c r="AA106" i="8"/>
  <c r="AB109" i="6"/>
  <c r="AB109" i="8" s="1"/>
  <c r="AA109" i="8"/>
  <c r="Y739" i="6"/>
  <c r="Y739" i="8" s="1"/>
  <c r="X739" i="8"/>
  <c r="AB679" i="6"/>
  <c r="AB679" i="8" s="1"/>
  <c r="AA679" i="8"/>
  <c r="Y670" i="6"/>
  <c r="Y670" i="8" s="1"/>
  <c r="X670" i="8"/>
  <c r="Y611" i="6"/>
  <c r="Y611" i="8" s="1"/>
  <c r="X611" i="8"/>
  <c r="Y596" i="6"/>
  <c r="Y596" i="8" s="1"/>
  <c r="X596" i="8"/>
  <c r="Y472" i="6"/>
  <c r="Y472" i="8" s="1"/>
  <c r="X472" i="8"/>
  <c r="Y526" i="6"/>
  <c r="Y526" i="8" s="1"/>
  <c r="X526" i="8"/>
  <c r="Y471" i="6"/>
  <c r="Y471" i="8" s="1"/>
  <c r="X471" i="8"/>
  <c r="Y440" i="6"/>
  <c r="Y440" i="8" s="1"/>
  <c r="X440" i="8"/>
  <c r="AB381" i="6"/>
  <c r="AB381" i="8" s="1"/>
  <c r="AA381" i="8"/>
  <c r="AB399" i="6"/>
  <c r="AB399" i="8" s="1"/>
  <c r="AA399" i="8"/>
  <c r="Y390" i="6"/>
  <c r="Y390" i="8" s="1"/>
  <c r="X390" i="8"/>
  <c r="AB299" i="6"/>
  <c r="AB299" i="8" s="1"/>
  <c r="AA299" i="8"/>
  <c r="Y319" i="6"/>
  <c r="Y319" i="8" s="1"/>
  <c r="X319" i="8"/>
  <c r="Y231" i="6"/>
  <c r="Y231" i="8" s="1"/>
  <c r="X231" i="8"/>
  <c r="Y158" i="6"/>
  <c r="Y158" i="8" s="1"/>
  <c r="X158" i="8"/>
  <c r="AB752" i="6"/>
  <c r="AB752" i="8" s="1"/>
  <c r="AA752" i="8"/>
  <c r="AB110" i="6"/>
  <c r="AB110" i="8" s="1"/>
  <c r="AA110" i="8"/>
  <c r="AB719" i="6"/>
  <c r="AB719" i="8" s="1"/>
  <c r="AA719" i="8"/>
  <c r="AB736" i="6"/>
  <c r="AB736" i="8" s="1"/>
  <c r="AA736" i="8"/>
  <c r="AB164" i="6"/>
  <c r="AB164" i="8" s="1"/>
  <c r="AA164" i="8"/>
  <c r="Y310" i="6"/>
  <c r="Y310" i="8" s="1"/>
  <c r="X310" i="8"/>
  <c r="AB380" i="6"/>
  <c r="AB380" i="8" s="1"/>
  <c r="AA380" i="8"/>
  <c r="Y380" i="6"/>
  <c r="Y380" i="8" s="1"/>
  <c r="X380" i="8"/>
  <c r="AB317" i="6"/>
  <c r="AB317" i="8" s="1"/>
  <c r="AA317" i="8"/>
  <c r="AB661" i="6"/>
  <c r="AB661" i="8" s="1"/>
  <c r="AA661" i="8"/>
  <c r="AB612" i="6"/>
  <c r="AB612" i="8" s="1"/>
  <c r="AA612" i="8"/>
  <c r="Y648" i="6"/>
  <c r="Y648" i="8" s="1"/>
  <c r="X648" i="8"/>
  <c r="Y586" i="6"/>
  <c r="Y586" i="8" s="1"/>
  <c r="X586" i="8"/>
  <c r="AB600" i="6"/>
  <c r="AB600" i="8" s="1"/>
  <c r="AA600" i="8"/>
  <c r="AB595" i="6"/>
  <c r="AB595" i="8" s="1"/>
  <c r="AA595" i="8"/>
  <c r="AB539" i="6"/>
  <c r="AB539" i="8" s="1"/>
  <c r="AA539" i="8"/>
  <c r="AB541" i="6"/>
  <c r="AB541" i="8" s="1"/>
  <c r="AA541" i="8"/>
  <c r="AB525" i="6"/>
  <c r="AB525" i="8" s="1"/>
  <c r="AA525" i="8"/>
  <c r="Y510" i="6"/>
  <c r="Y510" i="8" s="1"/>
  <c r="X510" i="8"/>
  <c r="AB456" i="6"/>
  <c r="AB456" i="8" s="1"/>
  <c r="AA456" i="8"/>
  <c r="AB460" i="6"/>
  <c r="AB460" i="8" s="1"/>
  <c r="AA460" i="8"/>
  <c r="AB735" i="6"/>
  <c r="AB735" i="8" s="1"/>
  <c r="AA735" i="8"/>
  <c r="AB726" i="6"/>
  <c r="AB726" i="8" s="1"/>
  <c r="AA726" i="8"/>
  <c r="Y745" i="6"/>
  <c r="Y745" i="8" s="1"/>
  <c r="X745" i="8"/>
  <c r="AB240" i="6"/>
  <c r="AB240" i="8" s="1"/>
  <c r="AA240" i="8"/>
  <c r="Z344" i="6"/>
  <c r="AG319" i="6" s="1"/>
  <c r="X325" i="8"/>
  <c r="AB450" i="6"/>
  <c r="AB450" i="8" s="1"/>
  <c r="AA450" i="8"/>
  <c r="AB509" i="6"/>
  <c r="AB509" i="8" s="1"/>
  <c r="Y520" i="6"/>
  <c r="Y520" i="8" s="1"/>
  <c r="X520" i="8"/>
  <c r="X647" i="6"/>
  <c r="X647" i="8" s="1"/>
  <c r="X651" i="8"/>
  <c r="AA658" i="6"/>
  <c r="AA658" i="8" s="1"/>
  <c r="AB328" i="6"/>
  <c r="AB328" i="8" s="1"/>
  <c r="AA328" i="8"/>
  <c r="Y369" i="6"/>
  <c r="Y369" i="8" s="1"/>
  <c r="X369" i="8"/>
  <c r="Y326" i="6"/>
  <c r="Y326" i="8" s="1"/>
  <c r="X326" i="8"/>
  <c r="Y402" i="6"/>
  <c r="Y402" i="8" s="1"/>
  <c r="X402" i="8"/>
  <c r="Y300" i="6"/>
  <c r="Y300" i="8" s="1"/>
  <c r="X300" i="8"/>
  <c r="Y237" i="6"/>
  <c r="Y237" i="8" s="1"/>
  <c r="X237" i="8"/>
  <c r="Y249" i="6"/>
  <c r="Y249" i="8" s="1"/>
  <c r="X249" i="8"/>
  <c r="Y228" i="6"/>
  <c r="Y228" i="8" s="1"/>
  <c r="X228" i="8"/>
  <c r="AB229" i="6"/>
  <c r="AB229" i="8" s="1"/>
  <c r="AA229" i="8"/>
  <c r="AB180" i="6"/>
  <c r="AB180" i="8" s="1"/>
  <c r="AA180" i="8"/>
  <c r="AB175" i="6"/>
  <c r="AB175" i="8" s="1"/>
  <c r="AA175" i="8"/>
  <c r="AB729" i="6"/>
  <c r="AB729" i="8" s="1"/>
  <c r="AA729" i="8"/>
  <c r="AB122" i="6"/>
  <c r="AB122" i="8" s="1"/>
  <c r="AA122" i="8"/>
  <c r="Y91" i="6"/>
  <c r="Y91" i="8" s="1"/>
  <c r="X91" i="8"/>
  <c r="Y122" i="6"/>
  <c r="Y122" i="8" s="1"/>
  <c r="X122" i="8"/>
  <c r="Y89" i="6"/>
  <c r="Y89" i="8" s="1"/>
  <c r="X89" i="8"/>
  <c r="AB611" i="6"/>
  <c r="AB611" i="8" s="1"/>
  <c r="AA611" i="8"/>
  <c r="AB649" i="6"/>
  <c r="AB649" i="8" s="1"/>
  <c r="AA649" i="8"/>
  <c r="Y580" i="6"/>
  <c r="Y580" i="8" s="1"/>
  <c r="X580" i="8"/>
  <c r="AB591" i="6"/>
  <c r="AB591" i="8" s="1"/>
  <c r="AA591" i="8"/>
  <c r="AB468" i="6"/>
  <c r="AB468" i="8" s="1"/>
  <c r="AA468" i="8"/>
  <c r="Y536" i="6"/>
  <c r="Y536" i="8" s="1"/>
  <c r="X536" i="8"/>
  <c r="AB332" i="6"/>
  <c r="AB332" i="8" s="1"/>
  <c r="AA332" i="8"/>
  <c r="AB259" i="6"/>
  <c r="AB259" i="8" s="1"/>
  <c r="AA259" i="8"/>
  <c r="Y176" i="6"/>
  <c r="Y176" i="8" s="1"/>
  <c r="X176" i="8"/>
  <c r="AB119" i="6"/>
  <c r="AB119" i="8" s="1"/>
  <c r="AA119" i="8"/>
  <c r="AB723" i="6"/>
  <c r="AB723" i="8" s="1"/>
  <c r="AA723" i="8"/>
  <c r="Y578" i="6"/>
  <c r="Y578" i="8" s="1"/>
  <c r="X578" i="8"/>
  <c r="Y666" i="6"/>
  <c r="Y666" i="8" s="1"/>
  <c r="X666" i="8"/>
  <c r="Y589" i="6"/>
  <c r="Y589" i="8" s="1"/>
  <c r="X589" i="8"/>
  <c r="Y438" i="6"/>
  <c r="Y438" i="8" s="1"/>
  <c r="X438" i="8"/>
  <c r="AB538" i="6"/>
  <c r="AB538" i="8" s="1"/>
  <c r="AA538" i="8"/>
  <c r="AB472" i="6"/>
  <c r="AB472" i="8" s="1"/>
  <c r="AA472" i="8"/>
  <c r="AB459" i="6"/>
  <c r="AB459" i="8" s="1"/>
  <c r="AA459" i="8"/>
  <c r="AB390" i="6"/>
  <c r="AB390" i="8" s="1"/>
  <c r="AA390" i="8"/>
  <c r="Y401" i="6"/>
  <c r="Y401" i="8" s="1"/>
  <c r="X401" i="8"/>
  <c r="AB319" i="6"/>
  <c r="AB319" i="8" s="1"/>
  <c r="AA319" i="8"/>
  <c r="Y192" i="6"/>
  <c r="Y192" i="8" s="1"/>
  <c r="X192" i="8"/>
  <c r="AB118" i="6"/>
  <c r="AB118" i="8" s="1"/>
  <c r="AA118" i="8"/>
  <c r="AB734" i="6"/>
  <c r="AB734" i="8" s="1"/>
  <c r="AA734" i="8"/>
  <c r="Y752" i="6"/>
  <c r="Y752" i="8" s="1"/>
  <c r="X752" i="8"/>
  <c r="Y676" i="6"/>
  <c r="Y676" i="8" s="1"/>
  <c r="X676" i="8"/>
  <c r="AB579" i="6"/>
  <c r="AB579" i="8" s="1"/>
  <c r="AA579" i="8"/>
  <c r="AB608" i="6"/>
  <c r="AB608" i="8" s="1"/>
  <c r="AA608" i="8"/>
  <c r="Y599" i="6"/>
  <c r="Y599" i="8" s="1"/>
  <c r="X599" i="8"/>
  <c r="AB530" i="6"/>
  <c r="AB530" i="8" s="1"/>
  <c r="AA530" i="8"/>
  <c r="Y530" i="6"/>
  <c r="Y530" i="8" s="1"/>
  <c r="X530" i="8"/>
  <c r="AB451" i="6"/>
  <c r="AB451" i="8" s="1"/>
  <c r="AA451" i="8"/>
  <c r="AB398" i="6"/>
  <c r="AB398" i="8" s="1"/>
  <c r="AA398" i="8"/>
  <c r="AB330" i="6"/>
  <c r="AB330" i="8" s="1"/>
  <c r="AA330" i="8"/>
  <c r="Y396" i="6"/>
  <c r="Y396" i="8" s="1"/>
  <c r="X396" i="8"/>
  <c r="AB316" i="6"/>
  <c r="AB316" i="8" s="1"/>
  <c r="AA316" i="8"/>
  <c r="Y316" i="6"/>
  <c r="Y316" i="8" s="1"/>
  <c r="X316" i="8"/>
  <c r="AB301" i="6"/>
  <c r="AB301" i="8" s="1"/>
  <c r="AA301" i="8"/>
  <c r="Y159" i="6"/>
  <c r="Y159" i="8" s="1"/>
  <c r="X159" i="8"/>
  <c r="AB191" i="6"/>
  <c r="AB191" i="8" s="1"/>
  <c r="AA191" i="8"/>
  <c r="Y246" i="6"/>
  <c r="Y246" i="8" s="1"/>
  <c r="X246" i="8"/>
  <c r="Y191" i="6"/>
  <c r="Y191" i="8" s="1"/>
  <c r="X191" i="8"/>
  <c r="AB179" i="6"/>
  <c r="AB179" i="8" s="1"/>
  <c r="AA179" i="8"/>
  <c r="AB749" i="6"/>
  <c r="AB749" i="8" s="1"/>
  <c r="AA749" i="8"/>
  <c r="Y746" i="6"/>
  <c r="Y746" i="8" s="1"/>
  <c r="X746" i="8"/>
  <c r="AB105" i="6"/>
  <c r="AB105" i="8" s="1"/>
  <c r="AA105" i="8"/>
  <c r="Y719" i="6"/>
  <c r="Y719" i="8" s="1"/>
  <c r="X719" i="8"/>
  <c r="AB650" i="6"/>
  <c r="AB650" i="8" s="1"/>
  <c r="AA650" i="8"/>
  <c r="AB609" i="6"/>
  <c r="AB609" i="8" s="1"/>
  <c r="AA609" i="8"/>
  <c r="Y649" i="6"/>
  <c r="Y649" i="8" s="1"/>
  <c r="X649" i="8"/>
  <c r="AB529" i="6"/>
  <c r="AB529" i="8" s="1"/>
  <c r="AA529" i="8"/>
  <c r="Y456" i="6"/>
  <c r="Y456" i="8" s="1"/>
  <c r="X456" i="8"/>
  <c r="AB329" i="6"/>
  <c r="AB329" i="8" s="1"/>
  <c r="AA329" i="8"/>
  <c r="Y331" i="6"/>
  <c r="Y331" i="8" s="1"/>
  <c r="X331" i="8"/>
  <c r="AB320" i="6"/>
  <c r="AB320" i="8" s="1"/>
  <c r="AA320" i="8"/>
  <c r="AB261" i="6"/>
  <c r="AB261" i="8" s="1"/>
  <c r="AA261" i="8"/>
  <c r="AB249" i="6"/>
  <c r="AB249" i="8" s="1"/>
  <c r="AA249" i="8"/>
  <c r="Y180" i="6"/>
  <c r="Y180" i="8" s="1"/>
  <c r="X180" i="8"/>
  <c r="AB121" i="6"/>
  <c r="AB121" i="8" s="1"/>
  <c r="AA121" i="8"/>
  <c r="Y109" i="6"/>
  <c r="Y109" i="8" s="1"/>
  <c r="X109" i="8"/>
  <c r="AB681" i="6"/>
  <c r="AB681" i="8" s="1"/>
  <c r="AA681" i="8"/>
  <c r="Y612" i="6"/>
  <c r="Y612" i="8" s="1"/>
  <c r="X612" i="8"/>
  <c r="AB596" i="6"/>
  <c r="AB596" i="8" s="1"/>
  <c r="AA596" i="8"/>
  <c r="AB583" i="6"/>
  <c r="AB583" i="8" s="1"/>
  <c r="AA583" i="8"/>
  <c r="AB439" i="6"/>
  <c r="AB439" i="8" s="1"/>
  <c r="AA439" i="8"/>
  <c r="AB469" i="6"/>
  <c r="AB469" i="8" s="1"/>
  <c r="AA469" i="8"/>
  <c r="Y529" i="6"/>
  <c r="Y529" i="8" s="1"/>
  <c r="X529" i="8"/>
  <c r="Y447" i="6"/>
  <c r="Y447" i="8" s="1"/>
  <c r="X447" i="8"/>
  <c r="Y299" i="6"/>
  <c r="Y299" i="8" s="1"/>
  <c r="X299" i="8"/>
  <c r="AB401" i="6"/>
  <c r="AB401" i="8" s="1"/>
  <c r="AA401" i="8"/>
  <c r="Y332" i="6"/>
  <c r="Y332" i="8" s="1"/>
  <c r="X332" i="8"/>
  <c r="Y320" i="6"/>
  <c r="Y320" i="8" s="1"/>
  <c r="X320" i="8"/>
  <c r="AB311" i="6"/>
  <c r="AB311" i="8" s="1"/>
  <c r="AA311" i="8"/>
  <c r="AB176" i="6"/>
  <c r="AB176" i="8" s="1"/>
  <c r="AA176" i="8"/>
  <c r="AB731" i="6"/>
  <c r="AB731" i="8" s="1"/>
  <c r="AA731" i="8"/>
  <c r="Y90" i="6"/>
  <c r="Y90" i="8" s="1"/>
  <c r="X90" i="8"/>
  <c r="Y751" i="6"/>
  <c r="Y751" i="8" s="1"/>
  <c r="X751" i="8"/>
  <c r="AB739" i="6"/>
  <c r="AB739" i="8" s="1"/>
  <c r="AA739" i="8"/>
  <c r="AA507" i="6"/>
  <c r="AA507" i="8" s="1"/>
  <c r="Z624" i="6"/>
  <c r="AG599" i="6" s="1"/>
  <c r="Y651" i="6"/>
  <c r="X507" i="6"/>
  <c r="X507" i="8" s="1"/>
  <c r="X655" i="6"/>
  <c r="X655" i="8" s="1"/>
  <c r="AA733" i="6"/>
  <c r="AA733" i="8" s="1"/>
  <c r="AB677" i="6"/>
  <c r="AB677" i="8" s="1"/>
  <c r="AB694" i="6"/>
  <c r="AH669" i="6" s="1"/>
  <c r="Z694" i="6"/>
  <c r="AG669" i="6" s="1"/>
  <c r="Y675" i="6"/>
  <c r="Y675" i="8" s="1"/>
  <c r="Y590" i="6"/>
  <c r="Y590" i="8" s="1"/>
  <c r="X588" i="6"/>
  <c r="X588" i="8" s="1"/>
  <c r="X448" i="6"/>
  <c r="X448" i="8" s="1"/>
  <c r="AB584" i="6"/>
  <c r="AB584" i="8" s="1"/>
  <c r="AA582" i="6"/>
  <c r="AA582" i="8" s="1"/>
  <c r="X585" i="6"/>
  <c r="X585" i="8" s="1"/>
  <c r="Y587" i="6"/>
  <c r="Y587" i="8" s="1"/>
  <c r="AB590" i="6"/>
  <c r="AB590" i="8" s="1"/>
  <c r="AA588" i="6"/>
  <c r="AA588" i="8" s="1"/>
  <c r="AB594" i="6"/>
  <c r="AB594" i="8" s="1"/>
  <c r="AA593" i="6"/>
  <c r="AA593" i="8" s="1"/>
  <c r="Y595" i="6"/>
  <c r="Y595" i="8" s="1"/>
  <c r="X593" i="6"/>
  <c r="X593" i="8" s="1"/>
  <c r="X577" i="6"/>
  <c r="X577" i="8" s="1"/>
  <c r="Y581" i="6"/>
  <c r="Y581" i="8" s="1"/>
  <c r="AA577" i="6"/>
  <c r="AA577" i="8" s="1"/>
  <c r="AB554" i="6"/>
  <c r="AH529" i="6" s="1"/>
  <c r="AB537" i="6"/>
  <c r="AB537" i="8" s="1"/>
  <c r="X523" i="6"/>
  <c r="X523" i="8" s="1"/>
  <c r="Y525" i="6"/>
  <c r="Y525" i="8" s="1"/>
  <c r="AB524" i="6"/>
  <c r="AB524" i="8" s="1"/>
  <c r="AA523" i="6"/>
  <c r="AA523" i="8" s="1"/>
  <c r="AA92" i="6"/>
  <c r="AA92" i="8" s="1"/>
  <c r="AA302" i="6"/>
  <c r="AA302" i="8" s="1"/>
  <c r="Y465" i="6"/>
  <c r="Y465" i="8" s="1"/>
  <c r="X437" i="6"/>
  <c r="X437" i="8" s="1"/>
  <c r="Y535" i="6"/>
  <c r="Y535" i="8" s="1"/>
  <c r="Z554" i="6"/>
  <c r="AG529" i="6" s="1"/>
  <c r="Y325" i="6"/>
  <c r="Y325" i="8" s="1"/>
  <c r="AA512" i="6"/>
  <c r="AA512" i="8" s="1"/>
  <c r="AA518" i="6"/>
  <c r="AA518" i="8" s="1"/>
  <c r="X518" i="6"/>
  <c r="X518" i="8" s="1"/>
  <c r="Y516" i="6"/>
  <c r="Y516" i="8" s="1"/>
  <c r="X515" i="6"/>
  <c r="X515" i="8" s="1"/>
  <c r="Y446" i="6"/>
  <c r="Y446" i="8" s="1"/>
  <c r="X445" i="6"/>
  <c r="X445" i="8" s="1"/>
  <c r="AA448" i="6"/>
  <c r="AA448" i="8" s="1"/>
  <c r="X453" i="6"/>
  <c r="X453" i="8" s="1"/>
  <c r="Y455" i="6"/>
  <c r="Y455" i="8" s="1"/>
  <c r="AA372" i="6"/>
  <c r="AA372" i="8" s="1"/>
  <c r="AA442" i="6"/>
  <c r="AA442" i="8" s="1"/>
  <c r="AB441" i="6"/>
  <c r="AB441" i="8" s="1"/>
  <c r="AA437" i="6"/>
  <c r="AA437" i="8" s="1"/>
  <c r="AB446" i="6"/>
  <c r="AB446" i="8" s="1"/>
  <c r="AA445" i="6"/>
  <c r="AA445" i="8" s="1"/>
  <c r="AB454" i="6"/>
  <c r="AB454" i="8" s="1"/>
  <c r="AA453" i="6"/>
  <c r="AA453" i="8" s="1"/>
  <c r="Y395" i="6"/>
  <c r="Y395" i="8" s="1"/>
  <c r="Z414" i="6"/>
  <c r="AG389" i="6" s="1"/>
  <c r="AA378" i="6"/>
  <c r="AA378" i="8" s="1"/>
  <c r="Y385" i="6"/>
  <c r="Y385" i="8" s="1"/>
  <c r="X383" i="6"/>
  <c r="X383" i="8" s="1"/>
  <c r="AB384" i="6"/>
  <c r="AB384" i="8" s="1"/>
  <c r="AA383" i="6"/>
  <c r="AA383" i="8" s="1"/>
  <c r="AA243" i="6"/>
  <c r="AA243" i="8" s="1"/>
  <c r="AA232" i="6"/>
  <c r="AA232" i="8" s="1"/>
  <c r="AB376" i="6"/>
  <c r="AB376" i="8" s="1"/>
  <c r="AA375" i="6"/>
  <c r="AA375" i="8" s="1"/>
  <c r="Y376" i="6"/>
  <c r="Y376" i="8" s="1"/>
  <c r="X375" i="6"/>
  <c r="X375" i="8" s="1"/>
  <c r="X378" i="6"/>
  <c r="X378" i="8" s="1"/>
  <c r="AB414" i="6"/>
  <c r="AH389" i="6" s="1"/>
  <c r="AB397" i="6"/>
  <c r="AB397" i="8" s="1"/>
  <c r="BE86" i="2"/>
  <c r="Y301" i="6"/>
  <c r="Y301" i="8" s="1"/>
  <c r="X297" i="6"/>
  <c r="X297" i="8" s="1"/>
  <c r="AB306" i="6"/>
  <c r="AB306" i="8" s="1"/>
  <c r="AA305" i="6"/>
  <c r="AA305" i="8" s="1"/>
  <c r="Y315" i="6"/>
  <c r="Y315" i="8" s="1"/>
  <c r="X313" i="6"/>
  <c r="X313" i="8" s="1"/>
  <c r="X308" i="6"/>
  <c r="X308" i="8" s="1"/>
  <c r="AA238" i="6"/>
  <c r="AA238" i="8" s="1"/>
  <c r="X238" i="6"/>
  <c r="X238" i="8" s="1"/>
  <c r="Y306" i="6"/>
  <c r="Y306" i="8" s="1"/>
  <c r="X305" i="6"/>
  <c r="X305" i="8" s="1"/>
  <c r="AA308" i="6"/>
  <c r="AA308" i="8" s="1"/>
  <c r="AA313" i="6"/>
  <c r="AA313" i="8" s="1"/>
  <c r="Y236" i="6"/>
  <c r="Y236" i="8" s="1"/>
  <c r="X235" i="6"/>
  <c r="X235" i="8" s="1"/>
  <c r="AB204" i="6"/>
  <c r="AH179" i="6" s="1"/>
  <c r="X168" i="6"/>
  <c r="X168" i="8" s="1"/>
  <c r="Y245" i="6"/>
  <c r="Y245" i="8" s="1"/>
  <c r="X243" i="6"/>
  <c r="X243" i="8" s="1"/>
  <c r="AB236" i="6"/>
  <c r="AB236" i="8" s="1"/>
  <c r="AA235" i="6"/>
  <c r="AA235" i="8" s="1"/>
  <c r="Z274" i="6"/>
  <c r="AG249" i="6" s="1"/>
  <c r="Y255" i="6"/>
  <c r="Y255" i="8" s="1"/>
  <c r="AB257" i="6"/>
  <c r="AB257" i="8" s="1"/>
  <c r="AB274" i="6"/>
  <c r="AH249" i="6" s="1"/>
  <c r="X98" i="6"/>
  <c r="X98" i="8" s="1"/>
  <c r="AA168" i="6"/>
  <c r="AA168" i="8" s="1"/>
  <c r="Y166" i="6"/>
  <c r="Y166" i="8" s="1"/>
  <c r="X165" i="6"/>
  <c r="X165" i="8" s="1"/>
  <c r="AA162" i="6"/>
  <c r="AA162" i="8" s="1"/>
  <c r="Y175" i="6"/>
  <c r="Y175" i="8" s="1"/>
  <c r="X173" i="6"/>
  <c r="X173" i="8" s="1"/>
  <c r="AB166" i="6"/>
  <c r="AB166" i="8" s="1"/>
  <c r="AA165" i="6"/>
  <c r="AA165" i="8" s="1"/>
  <c r="AB174" i="6"/>
  <c r="AB174" i="8" s="1"/>
  <c r="AA173" i="6"/>
  <c r="AA173" i="8" s="1"/>
  <c r="Z764" i="6"/>
  <c r="AG739" i="6" s="1"/>
  <c r="AA98" i="6"/>
  <c r="AA98" i="8" s="1"/>
  <c r="AB134" i="6"/>
  <c r="AH109" i="6" s="1"/>
  <c r="AB117" i="6"/>
  <c r="AB117" i="8" s="1"/>
  <c r="F111" i="6"/>
  <c r="Y96" i="6"/>
  <c r="Y96" i="8" s="1"/>
  <c r="X95" i="6"/>
  <c r="X95" i="8" s="1"/>
  <c r="Y105" i="6"/>
  <c r="Y105" i="8" s="1"/>
  <c r="X103" i="6"/>
  <c r="X103" i="8" s="1"/>
  <c r="Y115" i="6"/>
  <c r="Y115" i="8" s="1"/>
  <c r="Z134" i="6"/>
  <c r="AG109" i="6" s="1"/>
  <c r="H111" i="6"/>
  <c r="AB104" i="6"/>
  <c r="AB104" i="8" s="1"/>
  <c r="AA103" i="6"/>
  <c r="AA103" i="8" s="1"/>
  <c r="AB96" i="6"/>
  <c r="AB96" i="8" s="1"/>
  <c r="AA95" i="6"/>
  <c r="AA95" i="8" s="1"/>
  <c r="X733" i="6"/>
  <c r="X733" i="8" s="1"/>
  <c r="BK84" i="2"/>
  <c r="BK88" i="2" s="1"/>
  <c r="BK90" i="2" s="1"/>
  <c r="BK91" i="2" s="1"/>
  <c r="BJ84" i="2"/>
  <c r="BJ88" i="2" s="1"/>
  <c r="BJ90" i="2" s="1"/>
  <c r="BJ91" i="2" s="1"/>
  <c r="BF86" i="2"/>
  <c r="Y727" i="6"/>
  <c r="Y727" i="8" s="1"/>
  <c r="X725" i="6"/>
  <c r="X725" i="8" s="1"/>
  <c r="AB721" i="6"/>
  <c r="AB721" i="8" s="1"/>
  <c r="AA717" i="6"/>
  <c r="AA717" i="8" s="1"/>
  <c r="Y730" i="6"/>
  <c r="Y730" i="8" s="1"/>
  <c r="X728" i="6"/>
  <c r="X728" i="8" s="1"/>
  <c r="Y721" i="6"/>
  <c r="Y721" i="8" s="1"/>
  <c r="X717" i="6"/>
  <c r="X717" i="8" s="1"/>
  <c r="AB655" i="6"/>
  <c r="AB655" i="8" s="1"/>
  <c r="AB730" i="6"/>
  <c r="AB730" i="8" s="1"/>
  <c r="AA728" i="6"/>
  <c r="AA728" i="8" s="1"/>
  <c r="AB724" i="6"/>
  <c r="AB724" i="8" s="1"/>
  <c r="AA722" i="6"/>
  <c r="AA722" i="8" s="1"/>
  <c r="AB727" i="6"/>
  <c r="AB727" i="8" s="1"/>
  <c r="AA725" i="6"/>
  <c r="AA725" i="8" s="1"/>
  <c r="Y724" i="6"/>
  <c r="Y724" i="8" s="1"/>
  <c r="X722" i="6"/>
  <c r="X722" i="8" s="1"/>
  <c r="Q198" i="6"/>
  <c r="Q198" i="8" s="1"/>
  <c r="Y232" i="6" l="1"/>
  <c r="Y232" i="8" s="1"/>
  <c r="AB764" i="8"/>
  <c r="AB484" i="8"/>
  <c r="Z204" i="8"/>
  <c r="AB344" i="8"/>
  <c r="AB624" i="8"/>
  <c r="Y92" i="6"/>
  <c r="Y92" i="8" s="1"/>
  <c r="Y372" i="6"/>
  <c r="Y372" i="8" s="1"/>
  <c r="Y302" i="6"/>
  <c r="Y302" i="8" s="1"/>
  <c r="AB87" i="6"/>
  <c r="AB87" i="8" s="1"/>
  <c r="Y733" i="6"/>
  <c r="Y733" i="8" s="1"/>
  <c r="AB647" i="6"/>
  <c r="AB647" i="8" s="1"/>
  <c r="W86" i="5"/>
  <c r="W85" i="5"/>
  <c r="X86" i="5"/>
  <c r="X85" i="5"/>
  <c r="Y162" i="6"/>
  <c r="Y162" i="8" s="1"/>
  <c r="AB372" i="6"/>
  <c r="AB372" i="8" s="1"/>
  <c r="AB162" i="6"/>
  <c r="AB162" i="8" s="1"/>
  <c r="AB232" i="6"/>
  <c r="AB232" i="8" s="1"/>
  <c r="Y512" i="6"/>
  <c r="Y512" i="8" s="1"/>
  <c r="AB98" i="6"/>
  <c r="AB98" i="8" s="1"/>
  <c r="Y655" i="6"/>
  <c r="Y655" i="8" s="1"/>
  <c r="Y168" i="6"/>
  <c r="Y168" i="8" s="1"/>
  <c r="AB238" i="6"/>
  <c r="AB238" i="8" s="1"/>
  <c r="AB302" i="6"/>
  <c r="AB302" i="8" s="1"/>
  <c r="Y518" i="6"/>
  <c r="Y518" i="8" s="1"/>
  <c r="Y442" i="6"/>
  <c r="Y442" i="8" s="1"/>
  <c r="AB512" i="6"/>
  <c r="AB512" i="8" s="1"/>
  <c r="AB308" i="6"/>
  <c r="AB308" i="8" s="1"/>
  <c r="Y87" i="6"/>
  <c r="Y87" i="8" s="1"/>
  <c r="AB652" i="6"/>
  <c r="AB652" i="8" s="1"/>
  <c r="Y238" i="6"/>
  <c r="Y238" i="8" s="1"/>
  <c r="Y308" i="6"/>
  <c r="Y308" i="8" s="1"/>
  <c r="Y448" i="6"/>
  <c r="Y448" i="8" s="1"/>
  <c r="AB515" i="6"/>
  <c r="AB515" i="8" s="1"/>
  <c r="Y652" i="6"/>
  <c r="Y652" i="8" s="1"/>
  <c r="AB313" i="6"/>
  <c r="AB313" i="8" s="1"/>
  <c r="Y378" i="6"/>
  <c r="Y378" i="8" s="1"/>
  <c r="AB507" i="6"/>
  <c r="AB507" i="8" s="1"/>
  <c r="AB658" i="6"/>
  <c r="AB658" i="8" s="1"/>
  <c r="AB274" i="8"/>
  <c r="Z344" i="8"/>
  <c r="AB134" i="8"/>
  <c r="Z414" i="8"/>
  <c r="Y507" i="6"/>
  <c r="Y507" i="8" s="1"/>
  <c r="AB664" i="8"/>
  <c r="AB663" i="6"/>
  <c r="AB663" i="8" s="1"/>
  <c r="Y658" i="6"/>
  <c r="Y658" i="8" s="1"/>
  <c r="Z134" i="8"/>
  <c r="Y98" i="6"/>
  <c r="Y98" i="8" s="1"/>
  <c r="AB243" i="6"/>
  <c r="AB243" i="8" s="1"/>
  <c r="AB442" i="6"/>
  <c r="AB442" i="8" s="1"/>
  <c r="AB448" i="6"/>
  <c r="AB448" i="8" s="1"/>
  <c r="Y437" i="6"/>
  <c r="Y437" i="8" s="1"/>
  <c r="AB518" i="6"/>
  <c r="AB518" i="8" s="1"/>
  <c r="AB586" i="8"/>
  <c r="AB585" i="6"/>
  <c r="AB585" i="8" s="1"/>
  <c r="Q205" i="6"/>
  <c r="Z554" i="8"/>
  <c r="AB694" i="8"/>
  <c r="Z624" i="8"/>
  <c r="Y583" i="8"/>
  <c r="Y582" i="6"/>
  <c r="Y582" i="8" s="1"/>
  <c r="H129" i="6"/>
  <c r="H111" i="8"/>
  <c r="AB168" i="6"/>
  <c r="AB168" i="8" s="1"/>
  <c r="AB204" i="8"/>
  <c r="AB378" i="6"/>
  <c r="AB378" i="8" s="1"/>
  <c r="Y663" i="6"/>
  <c r="Y663" i="8" s="1"/>
  <c r="AB733" i="6"/>
  <c r="AB733" i="8" s="1"/>
  <c r="AB92" i="6"/>
  <c r="AB92" i="8" s="1"/>
  <c r="G129" i="6"/>
  <c r="F111" i="8"/>
  <c r="Z764" i="8"/>
  <c r="Z274" i="8"/>
  <c r="AB414" i="8"/>
  <c r="AB554" i="8"/>
  <c r="Z694" i="8"/>
  <c r="Y647" i="6"/>
  <c r="Y647" i="8" s="1"/>
  <c r="Y651" i="8"/>
  <c r="AB577" i="6"/>
  <c r="AB577" i="8" s="1"/>
  <c r="AB581" i="8"/>
  <c r="Z484" i="8"/>
  <c r="AB588" i="6"/>
  <c r="AB588" i="8" s="1"/>
  <c r="Y577" i="6"/>
  <c r="Y577" i="8" s="1"/>
  <c r="Y585" i="6"/>
  <c r="Y585" i="8" s="1"/>
  <c r="AB593" i="6"/>
  <c r="AB593" i="8" s="1"/>
  <c r="Y593" i="6"/>
  <c r="Y593" i="8" s="1"/>
  <c r="AB582" i="6"/>
  <c r="AB582" i="8" s="1"/>
  <c r="Y588" i="6"/>
  <c r="Y588" i="8" s="1"/>
  <c r="AB523" i="6"/>
  <c r="AB523" i="8" s="1"/>
  <c r="Y515" i="6"/>
  <c r="Y515" i="8" s="1"/>
  <c r="Y523" i="6"/>
  <c r="Y523" i="8" s="1"/>
  <c r="X111" i="6"/>
  <c r="AG110" i="6" s="1"/>
  <c r="AB453" i="6"/>
  <c r="AB453" i="8" s="1"/>
  <c r="AB437" i="6"/>
  <c r="AB437" i="8" s="1"/>
  <c r="AB445" i="6"/>
  <c r="AB445" i="8" s="1"/>
  <c r="Y453" i="6"/>
  <c r="Y453" i="8" s="1"/>
  <c r="Y445" i="6"/>
  <c r="Y445" i="8" s="1"/>
  <c r="AB375" i="6"/>
  <c r="AB375" i="8" s="1"/>
  <c r="Y383" i="6"/>
  <c r="Y383" i="8" s="1"/>
  <c r="Y375" i="6"/>
  <c r="Y375" i="8" s="1"/>
  <c r="AB383" i="6"/>
  <c r="AB383" i="8" s="1"/>
  <c r="Y313" i="6"/>
  <c r="Y313" i="8" s="1"/>
  <c r="Y297" i="6"/>
  <c r="Y297" i="8" s="1"/>
  <c r="Y305" i="6"/>
  <c r="Y305" i="8" s="1"/>
  <c r="AB305" i="6"/>
  <c r="AB305" i="8" s="1"/>
  <c r="AB235" i="6"/>
  <c r="AB235" i="8" s="1"/>
  <c r="Y243" i="6"/>
  <c r="Y243" i="8" s="1"/>
  <c r="Y235" i="6"/>
  <c r="Y235" i="8" s="1"/>
  <c r="AB173" i="6"/>
  <c r="AB173" i="8" s="1"/>
  <c r="Y173" i="6"/>
  <c r="Y173" i="8" s="1"/>
  <c r="AB165" i="6"/>
  <c r="AB165" i="8" s="1"/>
  <c r="Y165" i="6"/>
  <c r="Y165" i="8" s="1"/>
  <c r="AA111" i="6"/>
  <c r="AH110" i="6" s="1"/>
  <c r="AB95" i="6"/>
  <c r="AB95" i="8" s="1"/>
  <c r="AB103" i="6"/>
  <c r="AB103" i="8" s="1"/>
  <c r="Y103" i="6"/>
  <c r="Y103" i="8" s="1"/>
  <c r="Y95" i="6"/>
  <c r="Y95" i="8" s="1"/>
  <c r="BK86" i="2"/>
  <c r="BJ86" i="2"/>
  <c r="AB717" i="6"/>
  <c r="AB717" i="8" s="1"/>
  <c r="AB725" i="6"/>
  <c r="AB725" i="8" s="1"/>
  <c r="AB728" i="6"/>
  <c r="AB728" i="8" s="1"/>
  <c r="Y728" i="6"/>
  <c r="Y728" i="8" s="1"/>
  <c r="AB722" i="6"/>
  <c r="AB722" i="8" s="1"/>
  <c r="Y717" i="6"/>
  <c r="Y717" i="8" s="1"/>
  <c r="Y722" i="6"/>
  <c r="Y722" i="8" s="1"/>
  <c r="Y725" i="6"/>
  <c r="Y725" i="8" s="1"/>
  <c r="X111" i="8" l="1"/>
  <c r="AB86" i="5"/>
  <c r="AB85" i="5"/>
  <c r="AA86" i="5"/>
  <c r="AA85" i="5"/>
  <c r="G128" i="6"/>
  <c r="G128" i="8" s="1"/>
  <c r="G129" i="8"/>
  <c r="AA111" i="8"/>
  <c r="H128" i="6"/>
  <c r="H128" i="8" s="1"/>
  <c r="H129" i="8"/>
  <c r="Q206" i="6"/>
  <c r="Q206" i="8" s="1"/>
  <c r="Q205" i="8"/>
  <c r="L33" i="5"/>
  <c r="AB129" i="6"/>
  <c r="M33" i="5"/>
  <c r="Z129" i="6"/>
  <c r="Y111" i="6"/>
  <c r="Y111" i="8" s="1"/>
  <c r="AB111" i="6"/>
  <c r="AB111" i="8" s="1"/>
  <c r="AF86" i="5" l="1"/>
  <c r="AF85" i="5"/>
  <c r="AE86" i="5"/>
  <c r="AE85" i="5"/>
  <c r="AB128" i="6"/>
  <c r="AB128" i="8" s="1"/>
  <c r="AB129" i="8"/>
  <c r="Z128" i="6"/>
  <c r="Z128" i="8" s="1"/>
  <c r="Z129" i="8"/>
  <c r="AJ86" i="5" l="1"/>
  <c r="AJ85" i="5"/>
  <c r="AI86" i="5"/>
  <c r="AI85" i="5"/>
  <c r="E28" i="2"/>
  <c r="F22" i="1"/>
  <c r="F41" i="1" s="1"/>
  <c r="AN86" i="5" l="1"/>
  <c r="AN85" i="5"/>
  <c r="AM86" i="5"/>
  <c r="AM85" i="5"/>
  <c r="H33" i="5"/>
  <c r="P16" i="1" s="1"/>
  <c r="E27" i="2"/>
  <c r="E46" i="2" s="1"/>
  <c r="G28" i="2"/>
  <c r="F23" i="6" s="1"/>
  <c r="F23" i="8" s="1"/>
  <c r="G56" i="1"/>
  <c r="G55" i="1"/>
  <c r="P14" i="1" l="1"/>
  <c r="AX68" i="2"/>
  <c r="BH68" i="2"/>
  <c r="BC68" i="2"/>
  <c r="AS68" i="2"/>
  <c r="AI68" i="2"/>
  <c r="Y68" i="2"/>
  <c r="O68" i="2"/>
  <c r="AN68" i="2"/>
  <c r="AD68" i="2"/>
  <c r="T68" i="2"/>
  <c r="E68" i="2"/>
  <c r="E67" i="2" s="1"/>
  <c r="E83" i="2"/>
  <c r="E84" i="2"/>
  <c r="AQ86" i="5"/>
  <c r="AQ85" i="5"/>
  <c r="AR86" i="5"/>
  <c r="AR85" i="5"/>
  <c r="G66" i="5"/>
  <c r="X23" i="6"/>
  <c r="X23" i="8" s="1"/>
  <c r="G27" i="2"/>
  <c r="AV86" i="5" l="1"/>
  <c r="AV85" i="5"/>
  <c r="AU86" i="5"/>
  <c r="AU85" i="5"/>
  <c r="G46" i="2"/>
  <c r="G84" i="2" s="1"/>
  <c r="F22" i="6"/>
  <c r="E76" i="2"/>
  <c r="O76" i="2"/>
  <c r="T76" i="2"/>
  <c r="Q275" i="6" l="1"/>
  <c r="Q268" i="6"/>
  <c r="Q268" i="8" s="1"/>
  <c r="F41" i="6"/>
  <c r="F22" i="8"/>
  <c r="G83" i="2"/>
  <c r="X22" i="6"/>
  <c r="Y23" i="6"/>
  <c r="Y23" i="8" s="1"/>
  <c r="G59" i="6" l="1"/>
  <c r="F41" i="8"/>
  <c r="X41" i="6"/>
  <c r="X22" i="8"/>
  <c r="Q276" i="6"/>
  <c r="Q276" i="8" s="1"/>
  <c r="Q275" i="8"/>
  <c r="Y22" i="6"/>
  <c r="J33" i="5" l="1"/>
  <c r="AG40" i="6"/>
  <c r="X41" i="8"/>
  <c r="Y41" i="6"/>
  <c r="Y41" i="8" s="1"/>
  <c r="Y22" i="8"/>
  <c r="Z59" i="6"/>
  <c r="Z59" i="8" s="1"/>
  <c r="G59" i="8"/>
  <c r="G58" i="6"/>
  <c r="G58" i="8" s="1"/>
  <c r="Z58" i="6" l="1"/>
  <c r="Z58" i="8" s="1"/>
  <c r="BM27" i="2" l="1"/>
  <c r="BL30" i="2"/>
  <c r="BM33" i="2"/>
  <c r="BL38" i="2"/>
  <c r="BL27" i="2"/>
  <c r="BM38" i="2"/>
  <c r="BL33" i="2"/>
  <c r="BM30" i="2"/>
  <c r="BM22" i="2"/>
  <c r="BL22" i="2"/>
  <c r="AM71" i="5" l="1"/>
  <c r="AQ71" i="5"/>
  <c r="AM76" i="5"/>
  <c r="AQ76" i="5"/>
  <c r="AM65" i="5"/>
  <c r="AQ65" i="5"/>
  <c r="AM68" i="5"/>
  <c r="AQ68" i="5"/>
  <c r="AN76" i="5"/>
  <c r="AR76" i="5"/>
  <c r="AR71" i="5"/>
  <c r="AN71" i="5"/>
  <c r="AR68" i="5"/>
  <c r="AN68" i="5"/>
  <c r="AN65" i="5"/>
  <c r="AR65" i="5"/>
  <c r="AF76" i="5"/>
  <c r="AJ76" i="5"/>
  <c r="AF71" i="5"/>
  <c r="AJ71" i="5"/>
  <c r="AF68" i="5"/>
  <c r="AJ68" i="5"/>
  <c r="AE65" i="5"/>
  <c r="AI65" i="5"/>
  <c r="AE68" i="5"/>
  <c r="AI68" i="5"/>
  <c r="AE71" i="5"/>
  <c r="AI71" i="5"/>
  <c r="AE76" i="5"/>
  <c r="AI76" i="5"/>
  <c r="AF65" i="5"/>
  <c r="AJ65" i="5"/>
  <c r="X68" i="5"/>
  <c r="AB68" i="5"/>
  <c r="W65" i="5"/>
  <c r="AA65" i="5"/>
  <c r="W68" i="5"/>
  <c r="AA68" i="5"/>
  <c r="W71" i="5"/>
  <c r="AA71" i="5"/>
  <c r="W76" i="5"/>
  <c r="AA76" i="5"/>
  <c r="X65" i="5"/>
  <c r="AB65" i="5"/>
  <c r="X76" i="5"/>
  <c r="AB76" i="5"/>
  <c r="X71" i="5"/>
  <c r="AB71" i="5"/>
  <c r="P68" i="5"/>
  <c r="T68" i="5"/>
  <c r="O65" i="5"/>
  <c r="S65" i="5"/>
  <c r="O68" i="5"/>
  <c r="S68" i="5"/>
  <c r="O71" i="5"/>
  <c r="S71" i="5"/>
  <c r="O76" i="5"/>
  <c r="S76" i="5"/>
  <c r="P65" i="5"/>
  <c r="T65" i="5"/>
  <c r="P76" i="5"/>
  <c r="T76" i="5"/>
  <c r="P71" i="5"/>
  <c r="T71" i="5"/>
  <c r="AV68" i="5"/>
  <c r="L68" i="5"/>
  <c r="AU65" i="5"/>
  <c r="K65" i="5"/>
  <c r="AU68" i="5"/>
  <c r="K68" i="5"/>
  <c r="AU71" i="5"/>
  <c r="K71" i="5"/>
  <c r="AU76" i="5"/>
  <c r="K76" i="5"/>
  <c r="AV65" i="5"/>
  <c r="L65" i="5"/>
  <c r="AV76" i="5"/>
  <c r="L76" i="5"/>
  <c r="AV71" i="5"/>
  <c r="L71" i="5"/>
  <c r="BM46" i="2"/>
  <c r="BM83" i="2" s="1"/>
  <c r="BL46" i="2"/>
  <c r="Y161" i="6" l="1"/>
  <c r="Y161" i="8" s="1"/>
  <c r="BL84" i="2"/>
  <c r="BL83" i="2"/>
  <c r="BM84" i="2"/>
  <c r="G135" i="6" l="1"/>
  <c r="P198" i="6"/>
  <c r="P198" i="8" s="1"/>
  <c r="R33" i="2"/>
  <c r="P205" i="6" l="1"/>
  <c r="P275" i="6"/>
  <c r="G136" i="6"/>
  <c r="G136" i="8" s="1"/>
  <c r="G135" i="8"/>
  <c r="P268" i="6"/>
  <c r="P268" i="8" s="1"/>
  <c r="R46" i="2"/>
  <c r="R84" i="2" s="1"/>
  <c r="N71" i="5"/>
  <c r="P276" i="6" l="1"/>
  <c r="P276" i="8" s="1"/>
  <c r="P275" i="8"/>
  <c r="P206" i="6"/>
  <c r="P206" i="8" s="1"/>
  <c r="P205" i="8"/>
  <c r="R83" i="2"/>
  <c r="R88" i="2"/>
  <c r="R90" i="2" s="1"/>
  <c r="R91" i="2" s="1"/>
  <c r="R86" i="2"/>
  <c r="F157" i="6"/>
  <c r="Y160" i="6"/>
  <c r="Y160" i="8" s="1"/>
  <c r="F157" i="8" l="1"/>
  <c r="Y157" i="6"/>
  <c r="X157" i="6"/>
  <c r="X157" i="8" l="1"/>
  <c r="Y157" i="8"/>
  <c r="Z198" i="6" l="1"/>
  <c r="Z198" i="8" s="1"/>
  <c r="G198" i="6"/>
  <c r="G198" i="8" s="1"/>
  <c r="Q248" i="6" l="1"/>
  <c r="V81" i="5"/>
  <c r="G205" i="6"/>
  <c r="Z205" i="6"/>
  <c r="H157" i="6"/>
  <c r="N34" i="5" l="1"/>
  <c r="AG177" i="6"/>
  <c r="Q248" i="8"/>
  <c r="Q251" i="6"/>
  <c r="Z206" i="6"/>
  <c r="N32" i="5" s="1"/>
  <c r="H157" i="8"/>
  <c r="G206" i="6"/>
  <c r="G206" i="8" s="1"/>
  <c r="G205" i="8"/>
  <c r="Z205" i="8"/>
  <c r="Q269" i="6" l="1"/>
  <c r="Q251" i="8"/>
  <c r="Z206" i="8"/>
  <c r="F227" i="6"/>
  <c r="AA157" i="6"/>
  <c r="AB160" i="6"/>
  <c r="AB160" i="8" s="1"/>
  <c r="Q273" i="6" l="1"/>
  <c r="Q273" i="8" s="1"/>
  <c r="Q269" i="8"/>
  <c r="Q271" i="6"/>
  <c r="Q271" i="8" s="1"/>
  <c r="F227" i="8"/>
  <c r="AA157" i="8"/>
  <c r="P338" i="6"/>
  <c r="P338" i="8" s="1"/>
  <c r="Y230" i="6"/>
  <c r="Y230" i="8" s="1"/>
  <c r="X227" i="6"/>
  <c r="AB157" i="6"/>
  <c r="AB157" i="8" l="1"/>
  <c r="P345" i="6"/>
  <c r="X227" i="8"/>
  <c r="G338" i="6"/>
  <c r="G338" i="8" s="1"/>
  <c r="Y227" i="6"/>
  <c r="P346" i="6" l="1"/>
  <c r="P346" i="8" s="1"/>
  <c r="P345" i="8"/>
  <c r="G268" i="6"/>
  <c r="G268" i="8" s="1"/>
  <c r="Y227" i="8"/>
  <c r="G345" i="6"/>
  <c r="G346" i="6" l="1"/>
  <c r="G346" i="8" s="1"/>
  <c r="G345" i="8"/>
  <c r="G275" i="6"/>
  <c r="Z338" i="6"/>
  <c r="Z338" i="8" s="1"/>
  <c r="Z275" i="6" l="1"/>
  <c r="G276" i="6"/>
  <c r="G276" i="8" s="1"/>
  <c r="G275" i="8"/>
  <c r="Z345" i="6"/>
  <c r="R34" i="5" l="1"/>
  <c r="AG317" i="6"/>
  <c r="P34" i="5"/>
  <c r="AG247" i="6"/>
  <c r="Z276" i="6"/>
  <c r="P32" i="5" s="1"/>
  <c r="Z275" i="8"/>
  <c r="Z346" i="6"/>
  <c r="R32" i="5" s="1"/>
  <c r="Z345" i="8"/>
  <c r="H227" i="6"/>
  <c r="Z276" i="8" l="1"/>
  <c r="Z346" i="8"/>
  <c r="H227" i="8"/>
  <c r="AB230" i="6"/>
  <c r="AB230" i="8" s="1"/>
  <c r="AA227" i="6"/>
  <c r="AA227" i="8" l="1"/>
  <c r="P408" i="6"/>
  <c r="P408" i="8" s="1"/>
  <c r="F367" i="6"/>
  <c r="Q338" i="6"/>
  <c r="Q338" i="8" s="1"/>
  <c r="AB227" i="6"/>
  <c r="P415" i="6" l="1"/>
  <c r="AB227" i="8"/>
  <c r="F367" i="8"/>
  <c r="Q345" i="6"/>
  <c r="P478" i="6"/>
  <c r="P478" i="8" s="1"/>
  <c r="Y370" i="6"/>
  <c r="Y370" i="8" s="1"/>
  <c r="X367" i="6"/>
  <c r="Q346" i="6" l="1"/>
  <c r="Q346" i="8" s="1"/>
  <c r="Q345" i="8"/>
  <c r="P485" i="6"/>
  <c r="X367" i="8"/>
  <c r="P416" i="6"/>
  <c r="P416" i="8" s="1"/>
  <c r="P415" i="8"/>
  <c r="G478" i="6"/>
  <c r="G478" i="8" s="1"/>
  <c r="Y367" i="6"/>
  <c r="Y367" i="8" l="1"/>
  <c r="G408" i="6"/>
  <c r="G408" i="8" s="1"/>
  <c r="P486" i="6"/>
  <c r="P486" i="8" s="1"/>
  <c r="P485" i="8"/>
  <c r="Z408" i="6"/>
  <c r="Z408" i="8" s="1"/>
  <c r="Z415" i="6" l="1"/>
  <c r="G485" i="6"/>
  <c r="G415" i="6"/>
  <c r="Z478" i="6"/>
  <c r="Z478" i="8" s="1"/>
  <c r="T34" i="5" l="1"/>
  <c r="AG387" i="6"/>
  <c r="Z415" i="8"/>
  <c r="Z485" i="6"/>
  <c r="Z416" i="6"/>
  <c r="G416" i="6"/>
  <c r="G416" i="8" s="1"/>
  <c r="G415" i="8"/>
  <c r="G486" i="6"/>
  <c r="G486" i="8" s="1"/>
  <c r="G485" i="8"/>
  <c r="H297" i="6"/>
  <c r="V34" i="5" l="1"/>
  <c r="AG457" i="6"/>
  <c r="Z486" i="6"/>
  <c r="V32" i="5" s="1"/>
  <c r="T32" i="5"/>
  <c r="Z416" i="8"/>
  <c r="H297" i="8"/>
  <c r="Z485" i="8"/>
  <c r="Q408" i="6"/>
  <c r="Q408" i="8" s="1"/>
  <c r="AB300" i="6"/>
  <c r="AB300" i="8" s="1"/>
  <c r="AA297" i="6"/>
  <c r="AD81" i="5" l="1"/>
  <c r="Q388" i="6"/>
  <c r="Z486" i="8"/>
  <c r="Q415" i="6"/>
  <c r="AA297" i="8"/>
  <c r="P548" i="6"/>
  <c r="P548" i="8" s="1"/>
  <c r="AB297" i="6"/>
  <c r="Q388" i="8" l="1"/>
  <c r="Q391" i="6"/>
  <c r="AB297" i="8"/>
  <c r="Q416" i="6"/>
  <c r="Q416" i="8" s="1"/>
  <c r="Q415" i="8"/>
  <c r="P555" i="6"/>
  <c r="P618" i="6"/>
  <c r="P618" i="8" s="1"/>
  <c r="G548" i="6"/>
  <c r="G548" i="8" s="1"/>
  <c r="Q391" i="8" l="1"/>
  <c r="Q409" i="6"/>
  <c r="P556" i="6"/>
  <c r="P556" i="8" s="1"/>
  <c r="P555" i="8"/>
  <c r="P625" i="6"/>
  <c r="G555" i="6"/>
  <c r="G618" i="6"/>
  <c r="G618" i="8" s="1"/>
  <c r="Q409" i="8" l="1"/>
  <c r="Q411" i="6"/>
  <c r="Q411" i="8" s="1"/>
  <c r="Q413" i="6"/>
  <c r="Q413" i="8" s="1"/>
  <c r="P626" i="6"/>
  <c r="P626" i="8" s="1"/>
  <c r="P625" i="8"/>
  <c r="G556" i="6"/>
  <c r="G556" i="8" s="1"/>
  <c r="G555" i="8"/>
  <c r="Z548" i="6"/>
  <c r="Z548" i="8" s="1"/>
  <c r="G625" i="6" l="1"/>
  <c r="Z555" i="6"/>
  <c r="Z618" i="6"/>
  <c r="Z618" i="8" s="1"/>
  <c r="X34" i="5" l="1"/>
  <c r="AG527" i="6"/>
  <c r="Z556" i="6"/>
  <c r="Z556" i="8" s="1"/>
  <c r="Z625" i="6"/>
  <c r="Z555" i="8"/>
  <c r="G626" i="6"/>
  <c r="G626" i="8" s="1"/>
  <c r="G625" i="8"/>
  <c r="H367" i="6"/>
  <c r="Z34" i="5" l="1"/>
  <c r="AG597" i="6"/>
  <c r="X32" i="5"/>
  <c r="Z625" i="8"/>
  <c r="Z626" i="6"/>
  <c r="H367" i="8"/>
  <c r="Q478" i="6"/>
  <c r="Q478" i="8" s="1"/>
  <c r="AB370" i="6"/>
  <c r="AB370" i="8" s="1"/>
  <c r="AA367" i="6"/>
  <c r="AA367" i="8" l="1"/>
  <c r="Z32" i="5"/>
  <c r="Z626" i="8"/>
  <c r="H478" i="6"/>
  <c r="H478" i="8" s="1"/>
  <c r="P688" i="6"/>
  <c r="P688" i="8" s="1"/>
  <c r="AB367" i="6"/>
  <c r="H485" i="6" l="1"/>
  <c r="P695" i="6"/>
  <c r="Q485" i="6"/>
  <c r="AB367" i="8"/>
  <c r="G758" i="6"/>
  <c r="G758" i="8" s="1"/>
  <c r="G688" i="6"/>
  <c r="G688" i="8" s="1"/>
  <c r="G695" i="6" l="1"/>
  <c r="P696" i="6"/>
  <c r="P696" i="8" s="1"/>
  <c r="P695" i="8"/>
  <c r="G765" i="6"/>
  <c r="P765" i="6"/>
  <c r="P758" i="6"/>
  <c r="P758" i="8" s="1"/>
  <c r="Q486" i="6"/>
  <c r="Q486" i="8" s="1"/>
  <c r="Q485" i="8"/>
  <c r="H486" i="6"/>
  <c r="H486" i="8" s="1"/>
  <c r="H485" i="8"/>
  <c r="AB478" i="6"/>
  <c r="AB478" i="8" s="1"/>
  <c r="AB485" i="6" l="1"/>
  <c r="AH457" i="6" s="1"/>
  <c r="G766" i="6"/>
  <c r="G766" i="8" s="1"/>
  <c r="G765" i="8"/>
  <c r="G696" i="6"/>
  <c r="G696" i="8" s="1"/>
  <c r="G695" i="8"/>
  <c r="P766" i="6"/>
  <c r="P766" i="8" s="1"/>
  <c r="P765" i="8"/>
  <c r="Z688" i="6"/>
  <c r="Z688" i="8" s="1"/>
  <c r="AB486" i="6" l="1"/>
  <c r="AB486" i="8" s="1"/>
  <c r="W34" i="5"/>
  <c r="AB485" i="8"/>
  <c r="Z695" i="6"/>
  <c r="Z758" i="6"/>
  <c r="Z758" i="8" s="1"/>
  <c r="AB34" i="5" l="1"/>
  <c r="AG667" i="6"/>
  <c r="W32" i="5"/>
  <c r="Z695" i="8"/>
  <c r="Z696" i="6"/>
  <c r="Z765" i="6"/>
  <c r="AG737" i="6" s="1"/>
  <c r="Q548" i="6"/>
  <c r="Q548" i="8" s="1"/>
  <c r="AB32" i="5" l="1"/>
  <c r="Z696" i="8"/>
  <c r="Z765" i="8"/>
  <c r="Z766" i="6"/>
  <c r="Z766" i="8" s="1"/>
  <c r="Q555" i="6"/>
  <c r="Q618" i="6"/>
  <c r="Q618" i="8" s="1"/>
  <c r="H548" i="6"/>
  <c r="H548" i="8" s="1"/>
  <c r="AL81" i="5" l="1"/>
  <c r="AJ81" i="5"/>
  <c r="Q528" i="6"/>
  <c r="H528" i="6"/>
  <c r="Q556" i="6"/>
  <c r="Q556" i="8" s="1"/>
  <c r="Q555" i="8"/>
  <c r="H618" i="6"/>
  <c r="H618" i="8" s="1"/>
  <c r="H528" i="8" l="1"/>
  <c r="AA528" i="6"/>
  <c r="AB528" i="6" s="1"/>
  <c r="H531" i="6"/>
  <c r="Q528" i="8"/>
  <c r="Q531" i="6"/>
  <c r="Q625" i="6"/>
  <c r="H555" i="6"/>
  <c r="AB548" i="6"/>
  <c r="AB548" i="8" s="1"/>
  <c r="AA528" i="8" l="1"/>
  <c r="AA531" i="6"/>
  <c r="AH530" i="6" s="1"/>
  <c r="H549" i="6"/>
  <c r="H531" i="8"/>
  <c r="Q549" i="6"/>
  <c r="Q531" i="8"/>
  <c r="H556" i="6"/>
  <c r="H556" i="8" s="1"/>
  <c r="H555" i="8"/>
  <c r="H625" i="6"/>
  <c r="Q626" i="6"/>
  <c r="Q626" i="8" s="1"/>
  <c r="Q625" i="8"/>
  <c r="AB555" i="6"/>
  <c r="AB618" i="6"/>
  <c r="AB618" i="8" s="1"/>
  <c r="Y34" i="5" l="1"/>
  <c r="AH527" i="6"/>
  <c r="AA531" i="8"/>
  <c r="AB549" i="6"/>
  <c r="Y33" i="5"/>
  <c r="H549" i="8"/>
  <c r="H551" i="6"/>
  <c r="H551" i="8" s="1"/>
  <c r="AB528" i="8"/>
  <c r="AB531" i="6"/>
  <c r="AB531" i="8" s="1"/>
  <c r="Q549" i="8"/>
  <c r="Q553" i="6"/>
  <c r="Q553" i="8" s="1"/>
  <c r="Q551" i="6"/>
  <c r="Q551" i="8" s="1"/>
  <c r="AB556" i="6"/>
  <c r="Y32" i="5" s="1"/>
  <c r="AB625" i="6"/>
  <c r="AH597" i="6" s="1"/>
  <c r="AB555" i="8"/>
  <c r="H626" i="6"/>
  <c r="H626" i="8" s="1"/>
  <c r="H625" i="8"/>
  <c r="AB549" i="8" l="1"/>
  <c r="AB551" i="6"/>
  <c r="AB551" i="8" s="1"/>
  <c r="AA34" i="5"/>
  <c r="AB556" i="8"/>
  <c r="AB625" i="8"/>
  <c r="AB626" i="6"/>
  <c r="AA32" i="5" l="1"/>
  <c r="AB626" i="8"/>
  <c r="Q688" i="6"/>
  <c r="Q688" i="8" s="1"/>
  <c r="Q695" i="6" l="1"/>
  <c r="Q758" i="6"/>
  <c r="Q758" i="8" s="1"/>
  <c r="H688" i="6"/>
  <c r="H688" i="8" s="1"/>
  <c r="AT81" i="5" l="1"/>
  <c r="H668" i="6"/>
  <c r="AR81" i="5"/>
  <c r="Q668" i="6"/>
  <c r="Q765" i="6"/>
  <c r="Q696" i="6"/>
  <c r="Q696" i="8" s="1"/>
  <c r="Q695" i="8"/>
  <c r="H695" i="6"/>
  <c r="H758" i="6"/>
  <c r="H758" i="8" s="1"/>
  <c r="Q668" i="8" l="1"/>
  <c r="Q671" i="6"/>
  <c r="H668" i="8"/>
  <c r="AA668" i="6"/>
  <c r="AB668" i="6" s="1"/>
  <c r="H671" i="6"/>
  <c r="H765" i="6"/>
  <c r="H696" i="6"/>
  <c r="H696" i="8" s="1"/>
  <c r="H695" i="8"/>
  <c r="Q766" i="6"/>
  <c r="Q766" i="8" s="1"/>
  <c r="Q765" i="8"/>
  <c r="AB688" i="6"/>
  <c r="AB688" i="8" s="1"/>
  <c r="Q689" i="6" l="1"/>
  <c r="Q671" i="8"/>
  <c r="H671" i="8"/>
  <c r="H689" i="6"/>
  <c r="AA668" i="8"/>
  <c r="AA671" i="6"/>
  <c r="AH670" i="6" s="1"/>
  <c r="AB695" i="6"/>
  <c r="AH667" i="6" s="1"/>
  <c r="H766" i="6"/>
  <c r="H766" i="8" s="1"/>
  <c r="H765" i="8"/>
  <c r="AB758" i="6"/>
  <c r="AB758" i="8" s="1"/>
  <c r="AB689" i="6" l="1"/>
  <c r="AA671" i="8"/>
  <c r="AC33" i="5"/>
  <c r="Q689" i="8"/>
  <c r="Q693" i="6"/>
  <c r="Q693" i="8" s="1"/>
  <c r="Q691" i="6"/>
  <c r="Q691" i="8" s="1"/>
  <c r="H689" i="8"/>
  <c r="H691" i="6"/>
  <c r="H691" i="8" s="1"/>
  <c r="AB668" i="8"/>
  <c r="AB671" i="6"/>
  <c r="AB671" i="8" s="1"/>
  <c r="AC34" i="5"/>
  <c r="AB765" i="6"/>
  <c r="AH737" i="6" s="1"/>
  <c r="AB695" i="8"/>
  <c r="AB696" i="6"/>
  <c r="AB689" i="8" l="1"/>
  <c r="AB691" i="6"/>
  <c r="AB691" i="8" s="1"/>
  <c r="AB765" i="8"/>
  <c r="AC32" i="5"/>
  <c r="AB696" i="8"/>
  <c r="AB766" i="6"/>
  <c r="AB766" i="8" s="1"/>
  <c r="J90" i="2" l="1"/>
  <c r="J91" i="2" s="1"/>
  <c r="BL66" i="2"/>
  <c r="BL65" i="2" s="1"/>
  <c r="BM66" i="2"/>
  <c r="BM65" i="2" s="1"/>
  <c r="BL69" i="2"/>
  <c r="BM69" i="2"/>
  <c r="BL74" i="2"/>
  <c r="BL77" i="2" s="1"/>
  <c r="BL85" i="2" s="1"/>
  <c r="BM74" i="2"/>
  <c r="BM77" i="2" s="1"/>
  <c r="BM85" i="2" s="1"/>
  <c r="BM64" i="2" l="1"/>
  <c r="BM71" i="2" s="1"/>
  <c r="BL64" i="2"/>
  <c r="BL71" i="2" s="1"/>
  <c r="BM86" i="2"/>
  <c r="G760" i="6"/>
  <c r="G760" i="8" s="1"/>
  <c r="BL88" i="2"/>
  <c r="BL90" i="2" s="1"/>
  <c r="BL91" i="2" s="1"/>
  <c r="BL86" i="2"/>
  <c r="H760" i="6"/>
  <c r="BM88" i="2"/>
  <c r="BM90" i="2" s="1"/>
  <c r="BM91" i="2" s="1"/>
  <c r="Z760" i="6" l="1"/>
  <c r="Z760" i="8" s="1"/>
  <c r="AB760" i="6"/>
  <c r="H760" i="8"/>
  <c r="AB760" i="8" l="1"/>
  <c r="G66" i="2"/>
  <c r="I66" i="2"/>
  <c r="I65" i="2" s="1"/>
  <c r="H66" i="2"/>
  <c r="J66" i="2"/>
  <c r="J65" i="2" s="1"/>
  <c r="G69" i="2"/>
  <c r="I69" i="2"/>
  <c r="I64" i="2" l="1"/>
  <c r="I71" i="2" s="1"/>
  <c r="I74" i="2" s="1"/>
  <c r="I75" i="2" s="1"/>
  <c r="I77" i="2" s="1"/>
  <c r="I85" i="2" s="1"/>
  <c r="I88" i="2" l="1"/>
  <c r="I90" i="2" s="1"/>
  <c r="I91" i="2" s="1"/>
  <c r="P60" i="6"/>
  <c r="I86" i="2"/>
  <c r="P61" i="6" l="1"/>
  <c r="P61" i="8" s="1"/>
  <c r="P63" i="6"/>
  <c r="P60" i="8"/>
  <c r="P65" i="6" l="1"/>
  <c r="P63" i="8"/>
  <c r="P66" i="6" l="1"/>
  <c r="P66" i="8" s="1"/>
  <c r="P65" i="8"/>
  <c r="H69" i="2"/>
  <c r="J69" i="2"/>
  <c r="J64" i="2" l="1"/>
  <c r="J71" i="2" s="1"/>
  <c r="J74" i="2" s="1"/>
  <c r="J75" i="2" s="1"/>
  <c r="J77" i="2" s="1"/>
  <c r="J85" i="2" s="1"/>
  <c r="J88" i="2" l="1"/>
  <c r="Q60" i="6"/>
  <c r="J86" i="2"/>
  <c r="Q63" i="6" l="1"/>
  <c r="Q63" i="8" s="1"/>
  <c r="Q61" i="6"/>
  <c r="Q61" i="8" s="1"/>
  <c r="Q60" i="8"/>
  <c r="G65" i="2"/>
  <c r="H65" i="2"/>
  <c r="G74" i="2"/>
  <c r="G77" i="2" s="1"/>
  <c r="G85" i="2" s="1"/>
  <c r="H64" i="2" l="1"/>
  <c r="H71" i="2" s="1"/>
  <c r="G64" i="2"/>
  <c r="G71" i="2" s="1"/>
  <c r="G86" i="2"/>
  <c r="G88" i="2"/>
  <c r="G90" i="2" s="1"/>
  <c r="G91" i="2" s="1"/>
  <c r="G75" i="2"/>
  <c r="G65" i="6" l="1"/>
  <c r="G66" i="6" l="1"/>
  <c r="G66" i="8" s="1"/>
  <c r="G65" i="8"/>
  <c r="Z65" i="6" l="1"/>
  <c r="AG37" i="6" s="1"/>
  <c r="AG43" i="6" s="1"/>
  <c r="J34" i="5" l="1"/>
  <c r="Z65" i="8"/>
  <c r="Z66" i="6"/>
  <c r="Z66" i="8" s="1"/>
  <c r="AG45" i="6"/>
  <c r="AG47" i="6"/>
  <c r="J32" i="5" l="1"/>
  <c r="AI49" i="6"/>
  <c r="AG48" i="6" s="1"/>
  <c r="AI50" i="6"/>
  <c r="AG50" i="6" s="1"/>
  <c r="AI51" i="6"/>
  <c r="AG51" i="6" s="1"/>
  <c r="AG52" i="6" l="1"/>
  <c r="E95" i="2" s="1"/>
  <c r="T97" i="2" s="1"/>
  <c r="AG182" i="6" s="1"/>
  <c r="H74" i="2"/>
  <c r="H75" i="2" s="1"/>
  <c r="O81" i="5" l="1"/>
  <c r="O178" i="6"/>
  <c r="F178" i="6"/>
  <c r="Q81" i="5"/>
  <c r="H77" i="2"/>
  <c r="H85" i="2" s="1"/>
  <c r="F178" i="8" l="1"/>
  <c r="X178" i="6"/>
  <c r="Y178" i="6" s="1"/>
  <c r="F181" i="6"/>
  <c r="O178" i="8"/>
  <c r="O181" i="6"/>
  <c r="H86" i="2"/>
  <c r="H88" i="2"/>
  <c r="H90" i="2" s="1"/>
  <c r="H91" i="2" s="1"/>
  <c r="X178" i="8" l="1"/>
  <c r="X181" i="6"/>
  <c r="AG180" i="6" s="1"/>
  <c r="AG183" i="6" s="1"/>
  <c r="P199" i="6"/>
  <c r="O181" i="8"/>
  <c r="G199" i="6"/>
  <c r="F181" i="8"/>
  <c r="AG187" i="6" l="1"/>
  <c r="AG185" i="6"/>
  <c r="G199" i="8"/>
  <c r="X181" i="8"/>
  <c r="Z199" i="6"/>
  <c r="N33" i="5"/>
  <c r="P199" i="8"/>
  <c r="P203" i="6"/>
  <c r="P203" i="8" s="1"/>
  <c r="P201" i="6"/>
  <c r="P201" i="8" s="1"/>
  <c r="Y178" i="8"/>
  <c r="Y181" i="6"/>
  <c r="Y181" i="8" s="1"/>
  <c r="AI191" i="6" l="1"/>
  <c r="AG191" i="6" s="1"/>
  <c r="AI190" i="6"/>
  <c r="AG190" i="6" s="1"/>
  <c r="AI189" i="6"/>
  <c r="AG188" i="6" s="1"/>
  <c r="Z199" i="8"/>
  <c r="AG192" i="6" l="1"/>
  <c r="T95" i="2" l="1"/>
  <c r="AD97" i="2" s="1"/>
  <c r="F318" i="6" l="1"/>
  <c r="F318" i="8" s="1"/>
  <c r="AG322" i="6"/>
  <c r="Y81" i="5"/>
  <c r="O318" i="6"/>
  <c r="O318" i="8" s="1"/>
  <c r="W81" i="5"/>
  <c r="R81" i="5"/>
  <c r="Q178" i="6"/>
  <c r="F321" i="6" l="1"/>
  <c r="G339" i="6" s="1"/>
  <c r="O321" i="6"/>
  <c r="O321" i="8" s="1"/>
  <c r="X318" i="6"/>
  <c r="Q178" i="8"/>
  <c r="Q181" i="6"/>
  <c r="X318" i="8" l="1"/>
  <c r="Y318" i="6"/>
  <c r="Y318" i="8" s="1"/>
  <c r="F321" i="8"/>
  <c r="P339" i="6"/>
  <c r="P339" i="8" s="1"/>
  <c r="X321" i="6"/>
  <c r="Q181" i="8"/>
  <c r="Q199" i="6"/>
  <c r="G339" i="8"/>
  <c r="Y321" i="6" l="1"/>
  <c r="Y321" i="8" s="1"/>
  <c r="Z339" i="6"/>
  <c r="Z339" i="8" s="1"/>
  <c r="AG320" i="6"/>
  <c r="AG323" i="6" s="1"/>
  <c r="P341" i="6"/>
  <c r="P341" i="8" s="1"/>
  <c r="P343" i="6"/>
  <c r="P343" i="8" s="1"/>
  <c r="R33" i="5"/>
  <c r="X321" i="8"/>
  <c r="Q199" i="8"/>
  <c r="Q201" i="6"/>
  <c r="Q201" i="8" s="1"/>
  <c r="Q203" i="6"/>
  <c r="Q203" i="8" s="1"/>
  <c r="AG327" i="6" l="1"/>
  <c r="AG325" i="6"/>
  <c r="AI330" i="6" l="1"/>
  <c r="AG330" i="6" s="1"/>
  <c r="AI331" i="6"/>
  <c r="AG331" i="6" s="1"/>
  <c r="AI329" i="6"/>
  <c r="AG328" i="6" s="1"/>
  <c r="AG332" i="6" l="1"/>
  <c r="AD95" i="2" s="1"/>
  <c r="AN97" i="2" s="1"/>
  <c r="AG81" i="5" s="1"/>
  <c r="F458" i="6" l="1"/>
  <c r="F461" i="6" s="1"/>
  <c r="AG462" i="6"/>
  <c r="AE81" i="5"/>
  <c r="O458" i="6"/>
  <c r="O458" i="8" s="1"/>
  <c r="Z81" i="5"/>
  <c r="Q318" i="6"/>
  <c r="F458" i="8" l="1"/>
  <c r="O461" i="6"/>
  <c r="O461" i="8" s="1"/>
  <c r="X458" i="6"/>
  <c r="Q318" i="8"/>
  <c r="Q321" i="6"/>
  <c r="G479" i="6"/>
  <c r="F461" i="8"/>
  <c r="X461" i="6" l="1"/>
  <c r="AG460" i="6" s="1"/>
  <c r="AG463" i="6" s="1"/>
  <c r="AG465" i="6" s="1"/>
  <c r="Y458" i="6"/>
  <c r="Y461" i="6" s="1"/>
  <c r="Y461" i="8" s="1"/>
  <c r="X458" i="8"/>
  <c r="P479" i="6"/>
  <c r="P481" i="6" s="1"/>
  <c r="P481" i="8" s="1"/>
  <c r="G479" i="8"/>
  <c r="Q339" i="6"/>
  <c r="Q321" i="8"/>
  <c r="V33" i="5" l="1"/>
  <c r="AG467" i="6"/>
  <c r="AI471" i="6" s="1"/>
  <c r="AG471" i="6" s="1"/>
  <c r="Z479" i="6"/>
  <c r="X461" i="8"/>
  <c r="Y458" i="8"/>
  <c r="P483" i="6"/>
  <c r="P483" i="8" s="1"/>
  <c r="P479" i="8"/>
  <c r="Q339" i="8"/>
  <c r="Q343" i="6"/>
  <c r="Q343" i="8" s="1"/>
  <c r="Q341" i="6"/>
  <c r="Q341" i="8" s="1"/>
  <c r="AI469" i="6" l="1"/>
  <c r="AG468" i="6" s="1"/>
  <c r="Z479" i="8"/>
  <c r="AI470" i="6"/>
  <c r="AG470" i="6" s="1"/>
  <c r="AG472" i="6" l="1"/>
  <c r="AN95" i="2" s="1"/>
  <c r="AX97" i="2" s="1"/>
  <c r="AG602" i="6" s="1"/>
  <c r="F598" i="6" l="1"/>
  <c r="AO81" i="5"/>
  <c r="AM81" i="5"/>
  <c r="O598" i="6"/>
  <c r="AH81" i="5" l="1"/>
  <c r="H458" i="6"/>
  <c r="AF81" i="5"/>
  <c r="Q458" i="6"/>
  <c r="F598" i="8"/>
  <c r="X598" i="6"/>
  <c r="Y598" i="6" s="1"/>
  <c r="F601" i="6"/>
  <c r="O598" i="8"/>
  <c r="O601" i="6"/>
  <c r="X598" i="8" l="1"/>
  <c r="X601" i="6"/>
  <c r="AG600" i="6" s="1"/>
  <c r="AG603" i="6" s="1"/>
  <c r="H458" i="8"/>
  <c r="H461" i="6"/>
  <c r="AA458" i="6"/>
  <c r="AB458" i="6" s="1"/>
  <c r="O601" i="8"/>
  <c r="P619" i="6"/>
  <c r="Q458" i="8"/>
  <c r="Q461" i="6"/>
  <c r="G619" i="6"/>
  <c r="F601" i="8"/>
  <c r="AG607" i="6" l="1"/>
  <c r="AG605" i="6"/>
  <c r="Q479" i="6"/>
  <c r="Q461" i="8"/>
  <c r="AA458" i="8"/>
  <c r="AA461" i="6"/>
  <c r="AH460" i="6" s="1"/>
  <c r="X601" i="8"/>
  <c r="Z619" i="6"/>
  <c r="Z33" i="5"/>
  <c r="H479" i="6"/>
  <c r="H461" i="8"/>
  <c r="P619" i="8"/>
  <c r="P621" i="6"/>
  <c r="P621" i="8" s="1"/>
  <c r="G619" i="8"/>
  <c r="Y598" i="8"/>
  <c r="Y601" i="6"/>
  <c r="Y601" i="8" s="1"/>
  <c r="AI609" i="6" l="1"/>
  <c r="AG608" i="6" s="1"/>
  <c r="AI611" i="6"/>
  <c r="AG611" i="6" s="1"/>
  <c r="AI610" i="6"/>
  <c r="AG610" i="6" s="1"/>
  <c r="H479" i="8"/>
  <c r="H481" i="6"/>
  <c r="H481" i="8" s="1"/>
  <c r="AB458" i="8"/>
  <c r="AB461" i="6"/>
  <c r="AB461" i="8" s="1"/>
  <c r="Q479" i="8"/>
  <c r="Q481" i="6"/>
  <c r="Q481" i="8" s="1"/>
  <c r="Q483" i="6"/>
  <c r="Q483" i="8" s="1"/>
  <c r="Z619" i="8"/>
  <c r="AB479" i="6"/>
  <c r="W33" i="5"/>
  <c r="AA461" i="8"/>
  <c r="AG612" i="6" l="1"/>
  <c r="AB479" i="8"/>
  <c r="AB481" i="6"/>
  <c r="AB481" i="8" s="1"/>
  <c r="AX95" i="2" l="1"/>
  <c r="BH97" i="2" s="1"/>
  <c r="F738" i="6" l="1"/>
  <c r="F738" i="8" s="1"/>
  <c r="AG742" i="6"/>
  <c r="O738" i="6"/>
  <c r="AW81" i="5"/>
  <c r="AU81" i="5"/>
  <c r="F741" i="6" l="1"/>
  <c r="F741" i="8" s="1"/>
  <c r="X738" i="6"/>
  <c r="O741" i="6"/>
  <c r="P759" i="6" s="1"/>
  <c r="O738" i="8"/>
  <c r="H598" i="6"/>
  <c r="AP81" i="5"/>
  <c r="AN81" i="5"/>
  <c r="Q598" i="6"/>
  <c r="X741" i="6" l="1"/>
  <c r="AG740" i="6" s="1"/>
  <c r="AG743" i="6" s="1"/>
  <c r="AG745" i="6" s="1"/>
  <c r="Y738" i="6"/>
  <c r="Y741" i="6" s="1"/>
  <c r="Y741" i="8" s="1"/>
  <c r="X738" i="8"/>
  <c r="G759" i="6"/>
  <c r="G763" i="6" s="1"/>
  <c r="G763" i="8" s="1"/>
  <c r="O741" i="8"/>
  <c r="H598" i="8"/>
  <c r="AA598" i="6"/>
  <c r="AB598" i="6" s="1"/>
  <c r="H601" i="6"/>
  <c r="Q598" i="8"/>
  <c r="Q601" i="6"/>
  <c r="P761" i="6"/>
  <c r="P761" i="8" s="1"/>
  <c r="P763" i="6"/>
  <c r="P763" i="8" s="1"/>
  <c r="P759" i="8"/>
  <c r="G759" i="8" l="1"/>
  <c r="AG747" i="6"/>
  <c r="AI750" i="6" s="1"/>
  <c r="AG750" i="6" s="1"/>
  <c r="X741" i="8"/>
  <c r="Y738" i="8"/>
  <c r="Z759" i="6"/>
  <c r="Z759" i="8" s="1"/>
  <c r="G761" i="6"/>
  <c r="G761" i="8" s="1"/>
  <c r="AA598" i="8"/>
  <c r="AA601" i="6"/>
  <c r="AH600" i="6" s="1"/>
  <c r="Q619" i="6"/>
  <c r="Q601" i="8"/>
  <c r="H619" i="6"/>
  <c r="H601" i="8"/>
  <c r="AI751" i="6" l="1"/>
  <c r="AG751" i="6" s="1"/>
  <c r="AI749" i="6"/>
  <c r="AG748" i="6" s="1"/>
  <c r="Z763" i="6"/>
  <c r="Z763" i="8" s="1"/>
  <c r="Z761" i="6"/>
  <c r="Z761" i="8" s="1"/>
  <c r="AA601" i="8"/>
  <c r="AA33" i="5"/>
  <c r="AB619" i="6"/>
  <c r="H619" i="8"/>
  <c r="H621" i="6"/>
  <c r="H621" i="8" s="1"/>
  <c r="Q619" i="8"/>
  <c r="Q621" i="6"/>
  <c r="Q621" i="8" s="1"/>
  <c r="AB598" i="8"/>
  <c r="AB601" i="6"/>
  <c r="AB601" i="8" s="1"/>
  <c r="AG752" i="6" l="1"/>
  <c r="BH95" i="2" s="1"/>
  <c r="AB619" i="8"/>
  <c r="AB621" i="6"/>
  <c r="AB621" i="8" s="1"/>
  <c r="AX81" i="5" l="1"/>
  <c r="Q738" i="6"/>
  <c r="AV81" i="5"/>
  <c r="H738" i="6"/>
  <c r="H738" i="8" l="1"/>
  <c r="AA738" i="6"/>
  <c r="AB738" i="6" s="1"/>
  <c r="H741" i="6"/>
  <c r="Q738" i="8"/>
  <c r="Q741" i="6"/>
  <c r="AA738" i="8" l="1"/>
  <c r="AA741" i="6"/>
  <c r="AH740" i="6" s="1"/>
  <c r="Q759" i="6"/>
  <c r="Q741" i="8"/>
  <c r="H759" i="6"/>
  <c r="H741" i="8"/>
  <c r="H759" i="8" l="1"/>
  <c r="H761" i="6"/>
  <c r="H761" i="8" s="1"/>
  <c r="H763" i="6"/>
  <c r="H763" i="8" s="1"/>
  <c r="AA741" i="8"/>
  <c r="AB759" i="6"/>
  <c r="Q759" i="8"/>
  <c r="Q763" i="6"/>
  <c r="Q763" i="8" s="1"/>
  <c r="Q761" i="6"/>
  <c r="Q761" i="8" s="1"/>
  <c r="AB741" i="6"/>
  <c r="AB741" i="8" s="1"/>
  <c r="AB738" i="8"/>
  <c r="AB759" i="8" l="1"/>
  <c r="AB761" i="6"/>
  <c r="AB761" i="8" s="1"/>
  <c r="AB763" i="6"/>
  <c r="AB763" i="8" s="1"/>
  <c r="G62" i="1" l="1"/>
  <c r="G63" i="1" s="1"/>
  <c r="H32" i="5" s="1"/>
  <c r="P12" i="1" s="1"/>
  <c r="O66" i="2" l="1"/>
  <c r="E66" i="2"/>
  <c r="BC66" i="2"/>
  <c r="AS66" i="2"/>
  <c r="AI66" i="2"/>
  <c r="Y66" i="2"/>
  <c r="BH66" i="2"/>
  <c r="AX66" i="2"/>
  <c r="AN66" i="2"/>
  <c r="AD66" i="2"/>
  <c r="T66" i="2"/>
  <c r="P10" i="1"/>
  <c r="BH67" i="2"/>
  <c r="AS67" i="2"/>
  <c r="AI67" i="2"/>
  <c r="Y67" i="2"/>
  <c r="T67" i="2"/>
  <c r="O67" i="2"/>
  <c r="BC67" i="2"/>
  <c r="AX67" i="2"/>
  <c r="AN67" i="2"/>
  <c r="AD67" i="2"/>
  <c r="E65" i="2"/>
  <c r="H34" i="5"/>
  <c r="P18" i="1" s="1"/>
  <c r="I58" i="4"/>
  <c r="AS69" i="2" l="1"/>
  <c r="Y69" i="2"/>
  <c r="BH69" i="2"/>
  <c r="AN69" i="2"/>
  <c r="T69" i="2"/>
  <c r="AD69" i="2"/>
  <c r="E69" i="2"/>
  <c r="E64" i="2" s="1"/>
  <c r="E71" i="2" s="1"/>
  <c r="E74" i="2" s="1"/>
  <c r="E75" i="2" s="1"/>
  <c r="E77" i="2" s="1"/>
  <c r="E85" i="2" s="1"/>
  <c r="E86" i="2" s="1"/>
  <c r="BC69" i="2"/>
  <c r="AI69" i="2"/>
  <c r="O69" i="2"/>
  <c r="AX69" i="2"/>
  <c r="P8" i="1"/>
  <c r="P21" i="1" s="1"/>
  <c r="P25" i="1" s="1"/>
  <c r="P27" i="1" s="1"/>
  <c r="O65" i="2"/>
  <c r="O64" i="2" s="1"/>
  <c r="O71" i="2" s="1"/>
  <c r="O74" i="2" s="1"/>
  <c r="O75" i="2" s="1"/>
  <c r="O77" i="2" s="1"/>
  <c r="O85" i="2" s="1"/>
  <c r="O86" i="2" s="1"/>
  <c r="BH65" i="2"/>
  <c r="BH64" i="2" s="1"/>
  <c r="BH71" i="2" s="1"/>
  <c r="BH74" i="2" s="1"/>
  <c r="BH75" i="2" s="1"/>
  <c r="BH77" i="2" s="1"/>
  <c r="BH85" i="2" s="1"/>
  <c r="BC65" i="2"/>
  <c r="BC64" i="2" s="1"/>
  <c r="BC71" i="2" s="1"/>
  <c r="BC74" i="2" s="1"/>
  <c r="BC75" i="2" s="1"/>
  <c r="BC77" i="2" s="1"/>
  <c r="BC85" i="2" s="1"/>
  <c r="AX65" i="2"/>
  <c r="AS65" i="2"/>
  <c r="AS64" i="2" s="1"/>
  <c r="AS71" i="2" s="1"/>
  <c r="AS74" i="2" s="1"/>
  <c r="AS75" i="2" s="1"/>
  <c r="AS77" i="2" s="1"/>
  <c r="AS85" i="2" s="1"/>
  <c r="AN65" i="2"/>
  <c r="AN64" i="2" s="1"/>
  <c r="AN71" i="2" s="1"/>
  <c r="AN74" i="2" s="1"/>
  <c r="AN75" i="2" s="1"/>
  <c r="AN77" i="2" s="1"/>
  <c r="AN85" i="2" s="1"/>
  <c r="AI65" i="2"/>
  <c r="AI64" i="2" s="1"/>
  <c r="AI71" i="2" s="1"/>
  <c r="AI74" i="2" s="1"/>
  <c r="AI75" i="2" s="1"/>
  <c r="AI77" i="2" s="1"/>
  <c r="AI85" i="2" s="1"/>
  <c r="AD65" i="2"/>
  <c r="Y65" i="2"/>
  <c r="Y64" i="2" s="1"/>
  <c r="Y71" i="2" s="1"/>
  <c r="Y74" i="2" s="1"/>
  <c r="Y75" i="2" s="1"/>
  <c r="Y77" i="2" s="1"/>
  <c r="Y85" i="2" s="1"/>
  <c r="Y86" i="2" s="1"/>
  <c r="T65" i="2"/>
  <c r="T64" i="2" s="1"/>
  <c r="T71" i="2" s="1"/>
  <c r="T74" i="2" s="1"/>
  <c r="T75" i="2" s="1"/>
  <c r="T77" i="2" s="1"/>
  <c r="T85" i="2" s="1"/>
  <c r="T86" i="2" s="1"/>
  <c r="P29" i="1"/>
  <c r="G57" i="1" s="1"/>
  <c r="G60" i="1" s="1"/>
  <c r="AD64" i="2" l="1"/>
  <c r="AD71" i="2" s="1"/>
  <c r="AD74" i="2" s="1"/>
  <c r="AD75" i="2" s="1"/>
  <c r="AD77" i="2" s="1"/>
  <c r="AD85" i="2" s="1"/>
  <c r="AD86" i="2" s="1"/>
  <c r="AX64" i="2"/>
  <c r="AX71" i="2" s="1"/>
  <c r="AX74" i="2" s="1"/>
  <c r="AX75" i="2" s="1"/>
  <c r="AX77" i="2" s="1"/>
  <c r="AX85" i="2" s="1"/>
  <c r="AN88" i="2"/>
  <c r="AN90" i="2" s="1"/>
  <c r="AN91" i="2" s="1"/>
  <c r="AN86" i="2"/>
  <c r="G480" i="6"/>
  <c r="AS88" i="2"/>
  <c r="AS90" i="2" s="1"/>
  <c r="AS91" i="2" s="1"/>
  <c r="AS86" i="2"/>
  <c r="G550" i="6"/>
  <c r="AI88" i="2"/>
  <c r="AI90" i="2" s="1"/>
  <c r="AI91" i="2" s="1"/>
  <c r="AI86" i="2"/>
  <c r="G410" i="6"/>
  <c r="BH88" i="2"/>
  <c r="BH90" i="2" s="1"/>
  <c r="BH91" i="2" s="1"/>
  <c r="BH86" i="2"/>
  <c r="AX86" i="2"/>
  <c r="G620" i="6"/>
  <c r="H620" i="6"/>
  <c r="BC88" i="2"/>
  <c r="BC90" i="2" s="1"/>
  <c r="BC91" i="2" s="1"/>
  <c r="BC86" i="2"/>
  <c r="G690" i="6"/>
  <c r="E88" i="2"/>
  <c r="E90" i="2" s="1"/>
  <c r="E91" i="2" s="1"/>
  <c r="G60" i="6"/>
  <c r="G61" i="6" s="1"/>
  <c r="G61" i="8" s="1"/>
  <c r="P620" i="6"/>
  <c r="AX88" i="2"/>
  <c r="AX90" i="2" s="1"/>
  <c r="AX91" i="2" s="1"/>
  <c r="T88" i="2"/>
  <c r="T90" i="2" s="1"/>
  <c r="T91" i="2" s="1"/>
  <c r="G200" i="6"/>
  <c r="G201" i="6" s="1"/>
  <c r="G201" i="8" s="1"/>
  <c r="Y88" i="2"/>
  <c r="Y90" i="2" s="1"/>
  <c r="Y91" i="2" s="1"/>
  <c r="G270" i="6"/>
  <c r="O88" i="2"/>
  <c r="O90" i="2" s="1"/>
  <c r="O91" i="2" s="1"/>
  <c r="G130" i="6"/>
  <c r="G131" i="6" s="1"/>
  <c r="G131" i="8" s="1"/>
  <c r="AD88" i="2"/>
  <c r="AD90" i="2" s="1"/>
  <c r="AD91" i="2" s="1"/>
  <c r="G340" i="6"/>
  <c r="G341" i="6" s="1"/>
  <c r="G341" i="8" s="1"/>
  <c r="G58" i="1"/>
  <c r="G480" i="8" l="1"/>
  <c r="Z480" i="6"/>
  <c r="G481" i="6"/>
  <c r="G481" i="8" s="1"/>
  <c r="G483" i="6"/>
  <c r="G483" i="8" s="1"/>
  <c r="H620" i="8"/>
  <c r="H623" i="6"/>
  <c r="H623" i="8" s="1"/>
  <c r="Z550" i="6"/>
  <c r="Z550" i="8" s="1"/>
  <c r="G550" i="8"/>
  <c r="G690" i="8"/>
  <c r="Z690" i="6"/>
  <c r="Z690" i="8" s="1"/>
  <c r="G620" i="8"/>
  <c r="G621" i="6"/>
  <c r="G621" i="8" s="1"/>
  <c r="G623" i="6"/>
  <c r="G623" i="8" s="1"/>
  <c r="Z410" i="6"/>
  <c r="Z410" i="8" s="1"/>
  <c r="G410" i="8"/>
  <c r="Z200" i="6"/>
  <c r="Z201" i="6" s="1"/>
  <c r="Z201" i="8" s="1"/>
  <c r="G200" i="8"/>
  <c r="G203" i="6"/>
  <c r="G203" i="8" s="1"/>
  <c r="G63" i="6"/>
  <c r="G63" i="8" s="1"/>
  <c r="G60" i="8"/>
  <c r="Z60" i="6"/>
  <c r="Z61" i="6" s="1"/>
  <c r="Z61" i="8" s="1"/>
  <c r="G340" i="8"/>
  <c r="Z340" i="6"/>
  <c r="Z341" i="6" s="1"/>
  <c r="Z341" i="8" s="1"/>
  <c r="G343" i="6"/>
  <c r="G343" i="8" s="1"/>
  <c r="Z270" i="6"/>
  <c r="G270" i="8"/>
  <c r="P620" i="8"/>
  <c r="Z620" i="6"/>
  <c r="Z621" i="6" s="1"/>
  <c r="Z621" i="8" s="1"/>
  <c r="P623" i="6"/>
  <c r="P623" i="8" s="1"/>
  <c r="G130" i="8"/>
  <c r="G133" i="6"/>
  <c r="G133" i="8" s="1"/>
  <c r="Z130" i="6"/>
  <c r="Z131" i="6" s="1"/>
  <c r="Z131" i="8" s="1"/>
  <c r="Z480" i="8" l="1"/>
  <c r="Z481" i="6"/>
  <c r="Z481" i="8" s="1"/>
  <c r="Z483" i="6"/>
  <c r="Z483" i="8" s="1"/>
  <c r="Z620" i="8"/>
  <c r="Z623" i="6"/>
  <c r="Z623" i="8" s="1"/>
  <c r="Z270" i="8"/>
  <c r="Z60" i="8"/>
  <c r="Z63" i="6"/>
  <c r="Z63" i="8" s="1"/>
  <c r="Z200" i="8"/>
  <c r="Z203" i="6"/>
  <c r="Z203" i="8" s="1"/>
  <c r="Z340" i="8"/>
  <c r="Z343" i="6"/>
  <c r="Z343" i="8" s="1"/>
  <c r="Z130" i="8"/>
  <c r="Z133" i="6"/>
  <c r="BD67" i="2" l="1"/>
  <c r="AT67" i="2"/>
  <c r="AE67" i="2"/>
  <c r="U67" i="2"/>
  <c r="P67" i="2"/>
  <c r="BI67" i="2"/>
  <c r="AY67" i="2"/>
  <c r="AO67" i="2"/>
  <c r="Z67" i="2"/>
  <c r="AJ67" i="2"/>
  <c r="Z133" i="8"/>
  <c r="Z135" i="6"/>
  <c r="AG107" i="6" l="1"/>
  <c r="AG113" i="6" s="1"/>
  <c r="Z136" i="6"/>
  <c r="Z135" i="8"/>
  <c r="L34" i="5"/>
  <c r="H550" i="6" l="1"/>
  <c r="H690" i="6"/>
  <c r="H480" i="6"/>
  <c r="L32" i="5"/>
  <c r="Z136" i="8"/>
  <c r="AG115" i="6"/>
  <c r="AG117" i="6"/>
  <c r="H690" i="8" l="1"/>
  <c r="AB690" i="6"/>
  <c r="H693" i="6"/>
  <c r="H693" i="8" s="1"/>
  <c r="H480" i="8"/>
  <c r="AB480" i="6"/>
  <c r="H483" i="6"/>
  <c r="H483" i="8" s="1"/>
  <c r="AB550" i="6"/>
  <c r="H550" i="8"/>
  <c r="H553" i="6"/>
  <c r="H553" i="8" s="1"/>
  <c r="AI120" i="6"/>
  <c r="AG120" i="6" s="1"/>
  <c r="AI119" i="6"/>
  <c r="AG118" i="6" s="1"/>
  <c r="AI121" i="6"/>
  <c r="AG121" i="6" s="1"/>
  <c r="AB480" i="8" l="1"/>
  <c r="AB483" i="6"/>
  <c r="AB483" i="8" s="1"/>
  <c r="AB690" i="8"/>
  <c r="AB693" i="6"/>
  <c r="AB693" i="8" s="1"/>
  <c r="AB550" i="8"/>
  <c r="AB553" i="6"/>
  <c r="AB553" i="8" s="1"/>
  <c r="AG122" i="6"/>
  <c r="O95" i="2" s="1"/>
  <c r="Y97" i="2" s="1"/>
  <c r="U81" i="5" l="1"/>
  <c r="O248" i="6"/>
  <c r="AG252" i="6"/>
  <c r="S81" i="5"/>
  <c r="F248" i="6"/>
  <c r="O248" i="8" l="1"/>
  <c r="O251" i="6"/>
  <c r="F248" i="8"/>
  <c r="X248" i="6"/>
  <c r="F251" i="6"/>
  <c r="P269" i="6" l="1"/>
  <c r="O251" i="8"/>
  <c r="G269" i="6"/>
  <c r="F251" i="8"/>
  <c r="Y248" i="6"/>
  <c r="X248" i="8"/>
  <c r="X251" i="6"/>
  <c r="P269" i="8" l="1"/>
  <c r="P271" i="6"/>
  <c r="P271" i="8" s="1"/>
  <c r="P273" i="6"/>
  <c r="P273" i="8" s="1"/>
  <c r="AG250" i="6"/>
  <c r="AG253" i="6" s="1"/>
  <c r="Z269" i="6"/>
  <c r="P33" i="5"/>
  <c r="X251" i="8"/>
  <c r="G271" i="6"/>
  <c r="G271" i="8" s="1"/>
  <c r="G269" i="8"/>
  <c r="G273" i="6"/>
  <c r="G273" i="8" s="1"/>
  <c r="Y248" i="8"/>
  <c r="Y251" i="6"/>
  <c r="Y251" i="8" s="1"/>
  <c r="AG255" i="6" l="1"/>
  <c r="AG257" i="6"/>
  <c r="Z268" i="6"/>
  <c r="Z268" i="8" s="1"/>
  <c r="Z269" i="8"/>
  <c r="Z271" i="6"/>
  <c r="Z271" i="8" s="1"/>
  <c r="Z273" i="6"/>
  <c r="Z273" i="8" s="1"/>
  <c r="AI260" i="6" l="1"/>
  <c r="AG260" i="6" s="1"/>
  <c r="AI259" i="6"/>
  <c r="AG258" i="6"/>
  <c r="AI261" i="6"/>
  <c r="AG261" i="6" s="1"/>
  <c r="AG262" i="6" l="1"/>
  <c r="Y95" i="2" s="1"/>
  <c r="AI97" i="2" s="1"/>
  <c r="O388" i="6" s="1"/>
  <c r="O388" i="8" l="1"/>
  <c r="O391" i="6"/>
  <c r="F388" i="6"/>
  <c r="AA81" i="5"/>
  <c r="AC81" i="5"/>
  <c r="AG392" i="6"/>
  <c r="O391" i="8" l="1"/>
  <c r="P409" i="6"/>
  <c r="F388" i="8"/>
  <c r="F391" i="6"/>
  <c r="X388" i="6"/>
  <c r="P409" i="8" l="1"/>
  <c r="P413" i="6"/>
  <c r="P413" i="8" s="1"/>
  <c r="P411" i="6"/>
  <c r="P411" i="8" s="1"/>
  <c r="X391" i="6"/>
  <c r="X388" i="8"/>
  <c r="Y388" i="6"/>
  <c r="G409" i="6"/>
  <c r="F391" i="8"/>
  <c r="AG390" i="6" l="1"/>
  <c r="AG393" i="6" s="1"/>
  <c r="X391" i="8"/>
  <c r="Z409" i="6"/>
  <c r="T33" i="5"/>
  <c r="G409" i="8"/>
  <c r="G413" i="6"/>
  <c r="G413" i="8" s="1"/>
  <c r="G411" i="6"/>
  <c r="G411" i="8" s="1"/>
  <c r="Y388" i="8"/>
  <c r="Y391" i="6"/>
  <c r="Y391" i="8" s="1"/>
  <c r="Z409" i="8" l="1"/>
  <c r="Z411" i="6"/>
  <c r="Z411" i="8" s="1"/>
  <c r="Z413" i="6"/>
  <c r="Z413" i="8" s="1"/>
  <c r="AG397" i="6"/>
  <c r="AG395" i="6"/>
  <c r="AI401" i="6" l="1"/>
  <c r="AG401" i="6" s="1"/>
  <c r="AI399" i="6"/>
  <c r="AG398" i="6"/>
  <c r="AI400" i="6"/>
  <c r="AG400" i="6" s="1"/>
  <c r="AG402" i="6" l="1"/>
  <c r="AI95" i="2" s="1"/>
  <c r="AS97" i="2" s="1"/>
  <c r="O528" i="6" l="1"/>
  <c r="AK81" i="5"/>
  <c r="AG532" i="6"/>
  <c r="F528" i="6"/>
  <c r="AI81" i="5"/>
  <c r="O528" i="8" l="1"/>
  <c r="O531" i="6"/>
  <c r="F528" i="8"/>
  <c r="X528" i="6"/>
  <c r="F531" i="6"/>
  <c r="O531" i="8" l="1"/>
  <c r="P549" i="6"/>
  <c r="Y528" i="6"/>
  <c r="X528" i="8"/>
  <c r="X531" i="6"/>
  <c r="F531" i="8"/>
  <c r="G549" i="6"/>
  <c r="P549" i="8" l="1"/>
  <c r="P551" i="6"/>
  <c r="P551" i="8" s="1"/>
  <c r="P553" i="6"/>
  <c r="P553" i="8" s="1"/>
  <c r="AG530" i="6"/>
  <c r="AG533" i="6" s="1"/>
  <c r="Z549" i="6"/>
  <c r="X531" i="8"/>
  <c r="X33" i="5"/>
  <c r="G553" i="6"/>
  <c r="G553" i="8" s="1"/>
  <c r="G551" i="6"/>
  <c r="G551" i="8" s="1"/>
  <c r="G549" i="8"/>
  <c r="Y528" i="8"/>
  <c r="Y531" i="6"/>
  <c r="Y531" i="8" s="1"/>
  <c r="Z553" i="6" l="1"/>
  <c r="Z553" i="8" s="1"/>
  <c r="Z549" i="8"/>
  <c r="Z551" i="6"/>
  <c r="Z551" i="8" s="1"/>
  <c r="AG537" i="6"/>
  <c r="AG535" i="6"/>
  <c r="AI541" i="6" l="1"/>
  <c r="AG541" i="6" s="1"/>
  <c r="AI539" i="6"/>
  <c r="AG538" i="6"/>
  <c r="AI540" i="6"/>
  <c r="AG540" i="6" s="1"/>
  <c r="AG542" i="6" l="1"/>
  <c r="AS95" i="2" s="1"/>
  <c r="BC97" i="2" s="1"/>
  <c r="AS81" i="5" l="1"/>
  <c r="O668" i="6"/>
  <c r="AG672" i="6"/>
  <c r="F668" i="6"/>
  <c r="AQ81" i="5"/>
  <c r="O668" i="8" l="1"/>
  <c r="O671" i="6"/>
  <c r="X668" i="6"/>
  <c r="F668" i="8"/>
  <c r="F671" i="6"/>
  <c r="P689" i="6" l="1"/>
  <c r="O671" i="8"/>
  <c r="G689" i="6"/>
  <c r="F671" i="8"/>
  <c r="Y668" i="6"/>
  <c r="X668" i="8"/>
  <c r="X671" i="6"/>
  <c r="P691" i="6" l="1"/>
  <c r="P691" i="8" s="1"/>
  <c r="P693" i="6"/>
  <c r="P693" i="8" s="1"/>
  <c r="P689" i="8"/>
  <c r="AG670" i="6"/>
  <c r="AG673" i="6" s="1"/>
  <c r="AB33" i="5"/>
  <c r="X671" i="8"/>
  <c r="Z689" i="6"/>
  <c r="G689" i="8"/>
  <c r="G693" i="6"/>
  <c r="G693" i="8" s="1"/>
  <c r="G691" i="6"/>
  <c r="G691" i="8" s="1"/>
  <c r="Y668" i="8"/>
  <c r="Y671" i="6"/>
  <c r="Y671" i="8" s="1"/>
  <c r="AG675" i="6" l="1"/>
  <c r="AG677" i="6"/>
  <c r="Z689" i="8"/>
  <c r="Z691" i="6"/>
  <c r="Z691" i="8" s="1"/>
  <c r="Z693" i="6"/>
  <c r="Z693" i="8" s="1"/>
  <c r="AI680" i="6" l="1"/>
  <c r="AG680" i="6" s="1"/>
  <c r="AI679" i="6"/>
  <c r="AG678" i="6" s="1"/>
  <c r="AI681" i="6"/>
  <c r="AG681" i="6" s="1"/>
  <c r="AG682" i="6" l="1"/>
  <c r="BC95" i="2" s="1"/>
  <c r="K58" i="4" l="1"/>
  <c r="H388" i="6" l="1"/>
  <c r="H391" i="6" s="1"/>
  <c r="H408" i="6"/>
  <c r="H408" i="8" s="1"/>
  <c r="AB408" i="6"/>
  <c r="AB408" i="8" s="1"/>
  <c r="H410" i="6"/>
  <c r="H410" i="8" s="1"/>
  <c r="H415" i="6"/>
  <c r="H416" i="6" s="1"/>
  <c r="H416" i="8" s="1"/>
  <c r="AB415" i="6"/>
  <c r="AH387" i="6" s="1"/>
  <c r="AB81" i="5"/>
  <c r="AB415" i="8" l="1"/>
  <c r="H388" i="8"/>
  <c r="AA388" i="6"/>
  <c r="U34" i="5"/>
  <c r="AB416" i="6"/>
  <c r="AB410" i="6"/>
  <c r="AB410" i="8" s="1"/>
  <c r="H415" i="8"/>
  <c r="H409" i="6"/>
  <c r="H391" i="8"/>
  <c r="AB388" i="6" l="1"/>
  <c r="AA388" i="8"/>
  <c r="AA391" i="6"/>
  <c r="U32" i="5"/>
  <c r="AB416" i="8"/>
  <c r="H409" i="8"/>
  <c r="H411" i="6"/>
  <c r="H411" i="8" s="1"/>
  <c r="H413" i="6"/>
  <c r="H413" i="8" s="1"/>
  <c r="AH390" i="6" l="1"/>
  <c r="U33" i="5"/>
  <c r="AB409" i="6"/>
  <c r="AA391" i="8"/>
  <c r="AB391" i="6"/>
  <c r="AB391" i="8" s="1"/>
  <c r="AB388" i="8"/>
  <c r="AB413" i="6" l="1"/>
  <c r="AB413" i="8" s="1"/>
  <c r="AB409" i="8"/>
  <c r="AB411" i="6"/>
  <c r="AB411" i="8" s="1"/>
  <c r="AH37" i="6" l="1"/>
  <c r="AH43" i="6"/>
  <c r="AH45" i="6"/>
  <c r="AH47" i="6"/>
  <c r="AH48" i="6"/>
  <c r="AJ49" i="6"/>
  <c r="AH50" i="6"/>
  <c r="AJ50" i="6"/>
  <c r="AH51" i="6"/>
  <c r="AJ51" i="6"/>
  <c r="AH52" i="6"/>
  <c r="H60" i="6"/>
  <c r="AB60" i="6"/>
  <c r="H61" i="6"/>
  <c r="AB61" i="6"/>
  <c r="H63" i="6"/>
  <c r="AB63" i="6"/>
  <c r="H65" i="6"/>
  <c r="AB65" i="6"/>
  <c r="H66" i="6"/>
  <c r="AB66" i="6"/>
  <c r="AH107" i="6"/>
  <c r="AH113" i="6"/>
  <c r="AH115" i="6"/>
  <c r="AH117" i="6"/>
  <c r="AH118" i="6"/>
  <c r="AJ119" i="6"/>
  <c r="AH120" i="6"/>
  <c r="AJ120" i="6"/>
  <c r="AH121" i="6"/>
  <c r="AJ121" i="6"/>
  <c r="AH122" i="6"/>
  <c r="H130" i="6"/>
  <c r="AB130" i="6"/>
  <c r="H131" i="6"/>
  <c r="AB131" i="6"/>
  <c r="H133" i="6"/>
  <c r="AB133" i="6"/>
  <c r="H135" i="6"/>
  <c r="AB135" i="6"/>
  <c r="H136" i="6"/>
  <c r="AB136" i="6"/>
  <c r="AH177" i="6"/>
  <c r="H178" i="6"/>
  <c r="AA178" i="6"/>
  <c r="AB178" i="6"/>
  <c r="AH180" i="6"/>
  <c r="H181" i="6"/>
  <c r="AA181" i="6"/>
  <c r="AB181" i="6"/>
  <c r="AH182" i="6"/>
  <c r="AH183" i="6"/>
  <c r="AH185" i="6"/>
  <c r="AH187" i="6"/>
  <c r="AH188" i="6"/>
  <c r="AJ189" i="6"/>
  <c r="AH190" i="6"/>
  <c r="AJ190" i="6"/>
  <c r="AH191" i="6"/>
  <c r="AJ191" i="6"/>
  <c r="AH192" i="6"/>
  <c r="H198" i="6"/>
  <c r="AB198" i="6"/>
  <c r="H199" i="6"/>
  <c r="AB199" i="6"/>
  <c r="H200" i="6"/>
  <c r="AB200" i="6"/>
  <c r="H201" i="6"/>
  <c r="AB201" i="6"/>
  <c r="H203" i="6"/>
  <c r="AB203" i="6"/>
  <c r="H205" i="6"/>
  <c r="AB205" i="6"/>
  <c r="H206" i="6"/>
  <c r="AB206" i="6"/>
  <c r="AH247" i="6"/>
  <c r="H248" i="6"/>
  <c r="AA248" i="6"/>
  <c r="AB248" i="6"/>
  <c r="AH250" i="6"/>
  <c r="H251" i="6"/>
  <c r="AA251" i="6"/>
  <c r="AB251" i="6"/>
  <c r="AH252" i="6"/>
  <c r="AH253" i="6"/>
  <c r="AH255" i="6"/>
  <c r="AH257" i="6"/>
  <c r="AH258" i="6"/>
  <c r="AJ259" i="6"/>
  <c r="AH260" i="6"/>
  <c r="AJ260" i="6"/>
  <c r="AH261" i="6"/>
  <c r="AJ261" i="6"/>
  <c r="AH262" i="6"/>
  <c r="H268" i="6"/>
  <c r="AB268" i="6"/>
  <c r="H269" i="6"/>
  <c r="AB269" i="6"/>
  <c r="H270" i="6"/>
  <c r="AB270" i="6"/>
  <c r="H271" i="6"/>
  <c r="AB271" i="6"/>
  <c r="H273" i="6"/>
  <c r="AB273" i="6"/>
  <c r="H275" i="6"/>
  <c r="AB275" i="6"/>
  <c r="H276" i="6"/>
  <c r="AB276" i="6"/>
  <c r="AH317" i="6"/>
  <c r="H318" i="6"/>
  <c r="AA318" i="6"/>
  <c r="AB318" i="6"/>
  <c r="AH320" i="6"/>
  <c r="H321" i="6"/>
  <c r="AA321" i="6"/>
  <c r="AB321" i="6"/>
  <c r="AH322" i="6"/>
  <c r="AH323" i="6"/>
  <c r="AH325" i="6"/>
  <c r="AH327" i="6"/>
  <c r="AH328" i="6"/>
  <c r="AJ329" i="6"/>
  <c r="AH330" i="6"/>
  <c r="AJ330" i="6"/>
  <c r="AH331" i="6"/>
  <c r="AJ331" i="6"/>
  <c r="AH332" i="6"/>
  <c r="H338" i="6"/>
  <c r="AB338" i="6"/>
  <c r="H339" i="6"/>
  <c r="AB339" i="6"/>
  <c r="H340" i="6"/>
  <c r="AB340" i="6"/>
  <c r="H341" i="6"/>
  <c r="AB341" i="6"/>
  <c r="H343" i="6"/>
  <c r="AB343" i="6"/>
  <c r="H345" i="6"/>
  <c r="AB345" i="6"/>
  <c r="H346" i="6"/>
  <c r="AB346" i="6"/>
  <c r="AH392" i="6"/>
  <c r="AH393" i="6"/>
  <c r="AH395" i="6"/>
  <c r="AH397" i="6"/>
  <c r="AH398" i="6"/>
  <c r="AJ399" i="6"/>
  <c r="AH400" i="6"/>
  <c r="AJ400" i="6"/>
  <c r="AH401" i="6"/>
  <c r="AJ401" i="6"/>
  <c r="AH402" i="6"/>
  <c r="AH462" i="6"/>
  <c r="AH463" i="6"/>
  <c r="AH465" i="6"/>
  <c r="AH467" i="6"/>
  <c r="AH468" i="6"/>
  <c r="AJ469" i="6"/>
  <c r="AH470" i="6"/>
  <c r="AJ470" i="6"/>
  <c r="AH471" i="6"/>
  <c r="AJ471" i="6"/>
  <c r="AH472" i="6"/>
  <c r="AH532" i="6"/>
  <c r="AH533" i="6"/>
  <c r="AH535" i="6"/>
  <c r="AH537" i="6"/>
  <c r="AH538" i="6"/>
  <c r="AJ539" i="6"/>
  <c r="AH540" i="6"/>
  <c r="AJ540" i="6"/>
  <c r="AH541" i="6"/>
  <c r="AJ541" i="6"/>
  <c r="AH542" i="6"/>
  <c r="AH602" i="6"/>
  <c r="AH603" i="6"/>
  <c r="AH605" i="6"/>
  <c r="AH607" i="6"/>
  <c r="AH608" i="6"/>
  <c r="AJ609" i="6"/>
  <c r="AH610" i="6"/>
  <c r="AJ610" i="6"/>
  <c r="AH611" i="6"/>
  <c r="AJ611" i="6"/>
  <c r="AH612" i="6"/>
  <c r="Q620" i="6"/>
  <c r="AB620" i="6"/>
  <c r="Q623" i="6"/>
  <c r="AB623" i="6"/>
  <c r="AH672" i="6"/>
  <c r="AH673" i="6"/>
  <c r="AH675" i="6"/>
  <c r="AH677" i="6"/>
  <c r="AH678" i="6"/>
  <c r="AJ679" i="6"/>
  <c r="AH680" i="6"/>
  <c r="AJ680" i="6"/>
  <c r="AH681" i="6"/>
  <c r="AJ681" i="6"/>
  <c r="AH682" i="6"/>
  <c r="AH742" i="6"/>
  <c r="AH743" i="6"/>
  <c r="AH745" i="6"/>
  <c r="AH747" i="6"/>
  <c r="AH748" i="6"/>
  <c r="AJ749" i="6"/>
  <c r="AH750" i="6"/>
  <c r="AJ750" i="6"/>
  <c r="AH751" i="6"/>
  <c r="AJ751" i="6"/>
  <c r="AH752" i="6"/>
  <c r="Q8" i="1"/>
  <c r="Q10" i="1"/>
  <c r="Q12" i="1"/>
  <c r="Q18" i="1"/>
  <c r="Q21" i="1"/>
  <c r="Q25" i="1"/>
  <c r="Q27" i="1"/>
  <c r="Q29" i="1"/>
  <c r="H57" i="1"/>
  <c r="H58" i="1"/>
  <c r="H60" i="1"/>
  <c r="H62" i="1"/>
  <c r="H63" i="1"/>
  <c r="J58" i="4"/>
  <c r="F64" i="2"/>
  <c r="P64" i="2"/>
  <c r="U64" i="2"/>
  <c r="Z64" i="2"/>
  <c r="AE64" i="2"/>
  <c r="AJ64" i="2"/>
  <c r="AO64" i="2"/>
  <c r="AT64" i="2"/>
  <c r="AY64" i="2"/>
  <c r="BD64" i="2"/>
  <c r="BI64" i="2"/>
  <c r="F65" i="2"/>
  <c r="P65" i="2"/>
  <c r="U65" i="2"/>
  <c r="Z65" i="2"/>
  <c r="AE65" i="2"/>
  <c r="AJ65" i="2"/>
  <c r="AO65" i="2"/>
  <c r="AT65" i="2"/>
  <c r="AY65" i="2"/>
  <c r="BD65" i="2"/>
  <c r="BI65" i="2"/>
  <c r="F66" i="2"/>
  <c r="P66" i="2"/>
  <c r="U66" i="2"/>
  <c r="Z66" i="2"/>
  <c r="AE66" i="2"/>
  <c r="AJ66" i="2"/>
  <c r="AO66" i="2"/>
  <c r="AT66" i="2"/>
  <c r="AY66" i="2"/>
  <c r="BD66" i="2"/>
  <c r="BI66" i="2"/>
  <c r="F69" i="2"/>
  <c r="P69" i="2"/>
  <c r="U69" i="2"/>
  <c r="Z69" i="2"/>
  <c r="AE69" i="2"/>
  <c r="AJ69" i="2"/>
  <c r="AO69" i="2"/>
  <c r="AT69" i="2"/>
  <c r="AY69" i="2"/>
  <c r="BD69" i="2"/>
  <c r="BI69" i="2"/>
  <c r="F71" i="2"/>
  <c r="P71" i="2"/>
  <c r="U71" i="2"/>
  <c r="Z71" i="2"/>
  <c r="AE71" i="2"/>
  <c r="AJ71" i="2"/>
  <c r="AO71" i="2"/>
  <c r="AT71" i="2"/>
  <c r="AY71" i="2"/>
  <c r="BD71" i="2"/>
  <c r="BI71" i="2"/>
  <c r="F74" i="2"/>
  <c r="P74" i="2"/>
  <c r="U74" i="2"/>
  <c r="Z74" i="2"/>
  <c r="AE74" i="2"/>
  <c r="AJ74" i="2"/>
  <c r="AO74" i="2"/>
  <c r="AT74" i="2"/>
  <c r="AY74" i="2"/>
  <c r="BD74" i="2"/>
  <c r="BI74" i="2"/>
  <c r="F75" i="2"/>
  <c r="P75" i="2"/>
  <c r="U75" i="2"/>
  <c r="Z75" i="2"/>
  <c r="AE75" i="2"/>
  <c r="AJ75" i="2"/>
  <c r="AO75" i="2"/>
  <c r="AT75" i="2"/>
  <c r="AY75" i="2"/>
  <c r="BD75" i="2"/>
  <c r="BI75" i="2"/>
  <c r="F77" i="2"/>
  <c r="P77" i="2"/>
  <c r="U77" i="2"/>
  <c r="Z77" i="2"/>
  <c r="AE77" i="2"/>
  <c r="AJ77" i="2"/>
  <c r="AO77" i="2"/>
  <c r="AT77" i="2"/>
  <c r="AY77" i="2"/>
  <c r="BD77" i="2"/>
  <c r="BI77" i="2"/>
  <c r="F85" i="2"/>
  <c r="P85" i="2"/>
  <c r="U85" i="2"/>
  <c r="Z85" i="2"/>
  <c r="AE85" i="2"/>
  <c r="AJ85" i="2"/>
  <c r="AO85" i="2"/>
  <c r="AT85" i="2"/>
  <c r="AY85" i="2"/>
  <c r="BD85" i="2"/>
  <c r="BI85" i="2"/>
  <c r="F86" i="2"/>
  <c r="P86" i="2"/>
  <c r="U86" i="2"/>
  <c r="Z86" i="2"/>
  <c r="AE86" i="2"/>
  <c r="AJ86" i="2"/>
  <c r="AO86" i="2"/>
  <c r="AT86" i="2"/>
  <c r="AY86" i="2"/>
  <c r="BD86" i="2"/>
  <c r="BI86" i="2"/>
  <c r="F88" i="2"/>
  <c r="P88" i="2"/>
  <c r="U88" i="2"/>
  <c r="Z88" i="2"/>
  <c r="AE88" i="2"/>
  <c r="AJ88" i="2"/>
  <c r="AO88" i="2"/>
  <c r="AT88" i="2"/>
  <c r="AY88" i="2"/>
  <c r="BD88" i="2"/>
  <c r="BI88" i="2"/>
  <c r="F90" i="2"/>
  <c r="P90" i="2"/>
  <c r="U90" i="2"/>
  <c r="Z90" i="2"/>
  <c r="AE90" i="2"/>
  <c r="AJ90" i="2"/>
  <c r="AO90" i="2"/>
  <c r="AT90" i="2"/>
  <c r="AY90" i="2"/>
  <c r="BD90" i="2"/>
  <c r="BI90" i="2"/>
  <c r="F91" i="2"/>
  <c r="P91" i="2"/>
  <c r="U91" i="2"/>
  <c r="Z91" i="2"/>
  <c r="AE91" i="2"/>
  <c r="AJ91" i="2"/>
  <c r="AO91" i="2"/>
  <c r="AT91" i="2"/>
  <c r="AY91" i="2"/>
  <c r="BD91" i="2"/>
  <c r="BI91" i="2"/>
  <c r="F95" i="2"/>
  <c r="P95" i="2"/>
  <c r="U95" i="2"/>
  <c r="Z95" i="2"/>
  <c r="AE95" i="2"/>
  <c r="AJ95" i="2"/>
  <c r="AO95" i="2"/>
  <c r="AT95" i="2"/>
  <c r="AY95" i="2"/>
  <c r="BD95" i="2"/>
  <c r="BI95" i="2"/>
  <c r="U97" i="2"/>
  <c r="Z97" i="2"/>
  <c r="AE97" i="2"/>
  <c r="AJ97" i="2"/>
  <c r="AO97" i="2"/>
  <c r="AT97" i="2"/>
  <c r="AY97" i="2"/>
  <c r="BD97" i="2"/>
  <c r="BI97" i="2"/>
  <c r="H60" i="8"/>
  <c r="AB60" i="8"/>
  <c r="H61" i="8"/>
  <c r="AB61" i="8"/>
  <c r="H63" i="8"/>
  <c r="AB63" i="8"/>
  <c r="H65" i="8"/>
  <c r="AB65" i="8"/>
  <c r="H66" i="8"/>
  <c r="AB66" i="8"/>
  <c r="H130" i="8"/>
  <c r="AB130" i="8"/>
  <c r="H131" i="8"/>
  <c r="AB131" i="8"/>
  <c r="H133" i="8"/>
  <c r="AB133" i="8"/>
  <c r="H135" i="8"/>
  <c r="AB135" i="8"/>
  <c r="H136" i="8"/>
  <c r="AB136" i="8"/>
  <c r="H178" i="8"/>
  <c r="AA178" i="8"/>
  <c r="AB178" i="8"/>
  <c r="H181" i="8"/>
  <c r="AA181" i="8"/>
  <c r="AB181" i="8"/>
  <c r="H198" i="8"/>
  <c r="AB198" i="8"/>
  <c r="H199" i="8"/>
  <c r="AB199" i="8"/>
  <c r="H200" i="8"/>
  <c r="AB200" i="8"/>
  <c r="H201" i="8"/>
  <c r="AB201" i="8"/>
  <c r="H203" i="8"/>
  <c r="AB203" i="8"/>
  <c r="H205" i="8"/>
  <c r="AB205" i="8"/>
  <c r="H206" i="8"/>
  <c r="AB206" i="8"/>
  <c r="H248" i="8"/>
  <c r="AA248" i="8"/>
  <c r="AB248" i="8"/>
  <c r="H251" i="8"/>
  <c r="AA251" i="8"/>
  <c r="AB251" i="8"/>
  <c r="H268" i="8"/>
  <c r="AB268" i="8"/>
  <c r="H269" i="8"/>
  <c r="AB269" i="8"/>
  <c r="H270" i="8"/>
  <c r="AB270" i="8"/>
  <c r="H271" i="8"/>
  <c r="AB271" i="8"/>
  <c r="H273" i="8"/>
  <c r="AB273" i="8"/>
  <c r="H275" i="8"/>
  <c r="AB275" i="8"/>
  <c r="H276" i="8"/>
  <c r="AB276" i="8"/>
  <c r="H318" i="8"/>
  <c r="AA318" i="8"/>
  <c r="AB318" i="8"/>
  <c r="H321" i="8"/>
  <c r="AA321" i="8"/>
  <c r="AB321" i="8"/>
  <c r="H338" i="8"/>
  <c r="AB338" i="8"/>
  <c r="H339" i="8"/>
  <c r="AB339" i="8"/>
  <c r="H340" i="8"/>
  <c r="AB340" i="8"/>
  <c r="H341" i="8"/>
  <c r="AB341" i="8"/>
  <c r="H343" i="8"/>
  <c r="AB343" i="8"/>
  <c r="H345" i="8"/>
  <c r="AB345" i="8"/>
  <c r="H346" i="8"/>
  <c r="AB346" i="8"/>
  <c r="Q620" i="8"/>
  <c r="AB620" i="8"/>
  <c r="Q623" i="8"/>
  <c r="AB623" i="8"/>
  <c r="I32" i="5"/>
  <c r="K32" i="5"/>
  <c r="M32" i="5"/>
  <c r="O32" i="5"/>
  <c r="Q32" i="5"/>
  <c r="S32" i="5"/>
  <c r="O33" i="5"/>
  <c r="Q33" i="5"/>
  <c r="S33" i="5"/>
  <c r="I34" i="5"/>
  <c r="K34" i="5"/>
  <c r="M34" i="5"/>
  <c r="O34" i="5"/>
  <c r="Q34" i="5"/>
  <c r="S34" i="5"/>
  <c r="P81" i="5"/>
  <c r="T81" i="5"/>
  <c r="X81" i="5"/>
</calcChain>
</file>

<file path=xl/sharedStrings.xml><?xml version="1.0" encoding="utf-8"?>
<sst xmlns="http://schemas.openxmlformats.org/spreadsheetml/2006/main" count="13883" uniqueCount="445">
  <si>
    <t>Náklady pro výpočet ceny pro vodné a stočné</t>
  </si>
  <si>
    <t>Nákladové položky</t>
  </si>
  <si>
    <t>Měrná</t>
  </si>
  <si>
    <t>Voda pitná</t>
  </si>
  <si>
    <t>Voda odpadní</t>
  </si>
  <si>
    <t>Řádek</t>
  </si>
  <si>
    <t>jedn.</t>
  </si>
  <si>
    <t>Kalkulace</t>
  </si>
  <si>
    <t>1.</t>
  </si>
  <si>
    <t>Materiál</t>
  </si>
  <si>
    <t>mil.Kč</t>
  </si>
  <si>
    <t>1.1</t>
  </si>
  <si>
    <t>- surová voda podzemní + povrchová</t>
  </si>
  <si>
    <t>1.2</t>
  </si>
  <si>
    <t>- pitná voda převzatá + odpadní voda předaná k čištění</t>
  </si>
  <si>
    <t>1.3</t>
  </si>
  <si>
    <t>- chemikálie</t>
  </si>
  <si>
    <t>1.4</t>
  </si>
  <si>
    <t>- ostatní materiál</t>
  </si>
  <si>
    <t>2.</t>
  </si>
  <si>
    <t>Energie</t>
  </si>
  <si>
    <t>2.1</t>
  </si>
  <si>
    <t>- elektrická energie</t>
  </si>
  <si>
    <t>2.2</t>
  </si>
  <si>
    <t>- ostatní energie (plyn, pevná a kapalná energie)</t>
  </si>
  <si>
    <t>3.</t>
  </si>
  <si>
    <t>Mzdy</t>
  </si>
  <si>
    <t>3.1</t>
  </si>
  <si>
    <t>- přímé mzdy</t>
  </si>
  <si>
    <t>3.2</t>
  </si>
  <si>
    <t>- ostatní osobní náklady</t>
  </si>
  <si>
    <t>4.</t>
  </si>
  <si>
    <t>Ostatní přímé náklady</t>
  </si>
  <si>
    <t>4.1</t>
  </si>
  <si>
    <t>- odpisy</t>
  </si>
  <si>
    <t>4.2</t>
  </si>
  <si>
    <t>- opravy infrastrukturního majetku</t>
  </si>
  <si>
    <t>4.3</t>
  </si>
  <si>
    <t>- nájem infrastrukturního majetku</t>
  </si>
  <si>
    <t>4.4</t>
  </si>
  <si>
    <t>- prostředky obnovy infrastrukturního majetku</t>
  </si>
  <si>
    <t>5.</t>
  </si>
  <si>
    <t>Provozní náklady</t>
  </si>
  <si>
    <t>5.1</t>
  </si>
  <si>
    <t>- poplatky za vypouštění odpadních vod</t>
  </si>
  <si>
    <t>5.2</t>
  </si>
  <si>
    <t>- ostatní provozní náklady externí</t>
  </si>
  <si>
    <t>5.3</t>
  </si>
  <si>
    <t>- ostatní provozní náklady ve vlastní režii</t>
  </si>
  <si>
    <t>6.</t>
  </si>
  <si>
    <t>Finanční náklady</t>
  </si>
  <si>
    <t>7.</t>
  </si>
  <si>
    <t>Finanční výnosy</t>
  </si>
  <si>
    <t>8.</t>
  </si>
  <si>
    <t>Výrobní režie</t>
  </si>
  <si>
    <t>9.</t>
  </si>
  <si>
    <t>Správní režie</t>
  </si>
  <si>
    <t>10.</t>
  </si>
  <si>
    <t>Úplné vlastní náklady</t>
  </si>
  <si>
    <t>A</t>
  </si>
  <si>
    <t>B</t>
  </si>
  <si>
    <t>C</t>
  </si>
  <si>
    <t>Počet pracovníků</t>
  </si>
  <si>
    <t>osob</t>
  </si>
  <si>
    <t>D</t>
  </si>
  <si>
    <t>Voda pitná fakturovaná</t>
  </si>
  <si>
    <t>mil.m3</t>
  </si>
  <si>
    <t>E</t>
  </si>
  <si>
    <t>- z toho domácnosti</t>
  </si>
  <si>
    <t>F</t>
  </si>
  <si>
    <t>Voda odpadní odv. fakturovaná</t>
  </si>
  <si>
    <t>G</t>
  </si>
  <si>
    <t>H</t>
  </si>
  <si>
    <t>Voda srážková fakturovaná</t>
  </si>
  <si>
    <t>I</t>
  </si>
  <si>
    <t>Voda odpadní čištěná</t>
  </si>
  <si>
    <t>J</t>
  </si>
  <si>
    <t>Pitná nebo odpadní voda převzatá</t>
  </si>
  <si>
    <t>K</t>
  </si>
  <si>
    <t>Pitná nebo odpadní voda předaná</t>
  </si>
  <si>
    <t>Kalkulovaná cena pro vodné a stočné</t>
  </si>
  <si>
    <t>Text</t>
  </si>
  <si>
    <t>11.</t>
  </si>
  <si>
    <t>Kč/m3</t>
  </si>
  <si>
    <t>12.</t>
  </si>
  <si>
    <t>ÚVN</t>
  </si>
  <si>
    <t>13.</t>
  </si>
  <si>
    <t>Kalkulační zisk</t>
  </si>
  <si>
    <t>14.</t>
  </si>
  <si>
    <t>- podíl kalkul. zisku z ÚVN (orientační ukazatel)</t>
  </si>
  <si>
    <t>%</t>
  </si>
  <si>
    <t>15.</t>
  </si>
  <si>
    <t>- z ř.13 na rozvoj a obnovu infrastrukturního majetku</t>
  </si>
  <si>
    <t>16.</t>
  </si>
  <si>
    <t>Celkem ÚVN + zisk</t>
  </si>
  <si>
    <t>17.</t>
  </si>
  <si>
    <t>Voda fakturovaná pitná, odpadní+srážková</t>
  </si>
  <si>
    <t>18.</t>
  </si>
  <si>
    <t>CENA pro vodné, stočné</t>
  </si>
  <si>
    <t>19.</t>
  </si>
  <si>
    <t>II</t>
  </si>
  <si>
    <t>III</t>
  </si>
  <si>
    <t>IV</t>
  </si>
  <si>
    <t>V</t>
  </si>
  <si>
    <t>VI</t>
  </si>
  <si>
    <t>Příjemce vodného a stočného</t>
  </si>
  <si>
    <t>Provozovatel - název a IČ</t>
  </si>
  <si>
    <t>Vlastník - název IČ</t>
  </si>
  <si>
    <t>Index   1 až x</t>
  </si>
  <si>
    <t>Formulář    A až F</t>
  </si>
  <si>
    <t>IČPE související s cenou</t>
  </si>
  <si>
    <t>2a</t>
  </si>
  <si>
    <t>Hodnota souvisejícího infrastrukturního majetku podle VÚME</t>
  </si>
  <si>
    <t>Pořizovací cena souvisejícího provozního hmotného majetku</t>
  </si>
  <si>
    <t>Kalkul.</t>
  </si>
  <si>
    <t>2b</t>
  </si>
  <si>
    <t>4a</t>
  </si>
  <si>
    <t>7a</t>
  </si>
  <si>
    <t>Poznámka</t>
  </si>
  <si>
    <t>na kalendářní rok:</t>
  </si>
  <si>
    <t>ř.10/D nebo ř.10/F+H</t>
  </si>
  <si>
    <t>ř.10</t>
  </si>
  <si>
    <t>ř. 12 + ř. 13</t>
  </si>
  <si>
    <t>ř. 13/ř.12*100</t>
  </si>
  <si>
    <t>ř. D nebo F + H</t>
  </si>
  <si>
    <t>ř.16 / ř.17</t>
  </si>
  <si>
    <t>ř.18 + DPH</t>
  </si>
  <si>
    <t xml:space="preserve">JEDNOTKOVÉ NÁKLADY </t>
  </si>
  <si>
    <t>Legenda</t>
  </si>
  <si>
    <t>Úvod</t>
  </si>
  <si>
    <t>Vodné</t>
  </si>
  <si>
    <t>Stočné</t>
  </si>
  <si>
    <t>Nájemné PV</t>
  </si>
  <si>
    <t>Nájemné OV</t>
  </si>
  <si>
    <t>mil. Kč</t>
  </si>
  <si>
    <t>PV</t>
  </si>
  <si>
    <t>OV</t>
  </si>
  <si>
    <t>3a.</t>
  </si>
  <si>
    <t>3b.</t>
  </si>
  <si>
    <t>3c.</t>
  </si>
  <si>
    <t>Infrastrukturní majetek (IM)</t>
  </si>
  <si>
    <t>Provozní majetek (PM)</t>
  </si>
  <si>
    <r>
      <rPr>
        <b/>
        <sz val="7"/>
        <rFont val="Arial"/>
        <family val="2"/>
        <charset val="238"/>
      </rPr>
      <t>Pracovní kapitál (PK)</t>
    </r>
    <r>
      <rPr>
        <sz val="7"/>
        <rFont val="Arial"/>
        <family val="2"/>
        <charset val="238"/>
      </rPr>
      <t xml:space="preserve">
(Poh-Zav+Zas)</t>
    </r>
  </si>
  <si>
    <r>
      <rPr>
        <b/>
        <sz val="7"/>
        <rFont val="Arial"/>
        <family val="2"/>
        <charset val="238"/>
      </rPr>
      <t>Pohledávky (Poh) =</t>
    </r>
    <r>
      <rPr>
        <sz val="7"/>
        <rFont val="Arial"/>
        <family val="2"/>
        <charset val="238"/>
      </rPr>
      <t xml:space="preserve">
90/365 * roční obrat regulovaného zboží</t>
    </r>
  </si>
  <si>
    <r>
      <rPr>
        <b/>
        <sz val="7"/>
        <rFont val="Arial"/>
        <family val="2"/>
        <charset val="238"/>
      </rPr>
      <t xml:space="preserve">Zásoby (Zas) = </t>
    </r>
    <r>
      <rPr>
        <sz val="7"/>
        <rFont val="Arial"/>
        <family val="2"/>
        <charset val="238"/>
      </rPr>
      <t xml:space="preserve">
roční průměrná hodnota zásob</t>
    </r>
  </si>
  <si>
    <r>
      <rPr>
        <b/>
        <sz val="7"/>
        <rFont val="Arial"/>
        <family val="2"/>
        <charset val="238"/>
      </rPr>
      <t>Závazky (Zav) =</t>
    </r>
    <r>
      <rPr>
        <sz val="7"/>
        <rFont val="Arial"/>
        <family val="2"/>
        <charset val="238"/>
      </rPr>
      <t xml:space="preserve">
15/365 * roční provozní náklady na regulované zboží</t>
    </r>
  </si>
  <si>
    <t>Zohlednění nákupu společnosti (ZNS)</t>
  </si>
  <si>
    <r>
      <rPr>
        <b/>
        <sz val="7"/>
        <rFont val="Arial"/>
        <family val="2"/>
        <charset val="238"/>
      </rPr>
      <t>Celková hodnota OPK</t>
    </r>
    <r>
      <rPr>
        <sz val="7"/>
        <rFont val="Arial"/>
        <family val="2"/>
        <charset val="238"/>
      </rPr>
      <t xml:space="preserve">
(součet ř. 1, ř. 2, ř.3 a ř. 4)</t>
    </r>
  </si>
  <si>
    <t>WACC</t>
  </si>
  <si>
    <t>RO</t>
  </si>
  <si>
    <r>
      <rPr>
        <b/>
        <sz val="7"/>
        <rFont val="Arial"/>
        <family val="2"/>
        <charset val="238"/>
      </rPr>
      <t>Přiměřený zisk z použitého kapitálu (PZNK)</t>
    </r>
    <r>
      <rPr>
        <sz val="7"/>
        <rFont val="Arial"/>
        <family val="2"/>
        <charset val="238"/>
      </rPr>
      <t xml:space="preserve">
(ř. 5 * ř. 6 + ř. 7)</t>
    </r>
  </si>
  <si>
    <t>Koncesní smlouva (Provozovatel vybírá vodné/stočné)</t>
  </si>
  <si>
    <t>Služební provozní smlouva (Vlastník vybírá vodné/stočné)</t>
  </si>
  <si>
    <t>vyberte typ smlouvy pomocí rozbalovacího menu v tomto poli</t>
  </si>
  <si>
    <t>Jedn.</t>
  </si>
  <si>
    <t xml:space="preserve"> tis. Kč</t>
  </si>
  <si>
    <t>vyberte provozované složky VHI pomocí rozbalovacího menu v tomto poli</t>
  </si>
  <si>
    <r>
      <t xml:space="preserve">Vstupy Zadavatele </t>
    </r>
    <r>
      <rPr>
        <i/>
        <sz val="10"/>
        <color indexed="9"/>
        <rFont val="Arial"/>
        <family val="2"/>
        <charset val="238"/>
      </rPr>
      <t>(bílý text k vyplnění Zadavatelem)</t>
    </r>
  </si>
  <si>
    <t>Index cen průmyslových výrobců</t>
  </si>
  <si>
    <t>Index cen elektrické energie</t>
  </si>
  <si>
    <t>Složený index cen energie</t>
  </si>
  <si>
    <t>Mzdový index</t>
  </si>
  <si>
    <t xml:space="preserve">Index spotřebitelských cen </t>
  </si>
  <si>
    <t>Rok</t>
  </si>
  <si>
    <t>Zahájení provozování</t>
  </si>
  <si>
    <t>Ukončení provozování</t>
  </si>
  <si>
    <t>Datum
[DD.MM.RRRR]</t>
  </si>
  <si>
    <t>R =</t>
  </si>
  <si>
    <t>datum konce 1. roku provozu</t>
  </si>
  <si>
    <t>datum ukončení</t>
  </si>
  <si>
    <t>datum zahájení</t>
  </si>
  <si>
    <t>datum zač. posledního roku provozu</t>
  </si>
  <si>
    <t xml:space="preserve">Index cen stavebních děl </t>
  </si>
  <si>
    <t>Měrná
jedn.</t>
  </si>
  <si>
    <t>Jedn. náklady</t>
  </si>
  <si>
    <r>
      <t xml:space="preserve">Údaje automaticky vyplňované modelem </t>
    </r>
    <r>
      <rPr>
        <i/>
        <sz val="10"/>
        <rFont val="Arial"/>
        <family val="2"/>
        <charset val="238"/>
      </rPr>
      <t>(není možné zasahovat do předdefinovaných vzorců)</t>
    </r>
  </si>
  <si>
    <t>Voda pitná a Voda odpadní</t>
  </si>
  <si>
    <t>Vodné a Stočné</t>
  </si>
  <si>
    <t>mil. Kč/rok</t>
  </si>
  <si>
    <t>PV a OV</t>
  </si>
  <si>
    <r>
      <t>Nepovinné vstupy Zadavatele</t>
    </r>
    <r>
      <rPr>
        <i/>
        <sz val="10"/>
        <rFont val="Arial"/>
        <family val="2"/>
        <charset val="238"/>
      </rPr>
      <t xml:space="preserve"> (k vyplnění Zadavatelem) </t>
    </r>
  </si>
  <si>
    <t>Ne</t>
  </si>
  <si>
    <t>Ano</t>
  </si>
  <si>
    <t>pol. 3a</t>
  </si>
  <si>
    <t>roční obrat regulovaného zboží vč. DPH</t>
  </si>
  <si>
    <t>pol. 3b</t>
  </si>
  <si>
    <t>tis. Kč</t>
  </si>
  <si>
    <t>pol. 3c</t>
  </si>
  <si>
    <t>Vzdání se zisku</t>
  </si>
  <si>
    <t>PS</t>
  </si>
  <si>
    <t>Přepočet pro 1. rok provozování v případě, že PS není účinná od 1.ledna</t>
  </si>
  <si>
    <t>Zisk po vzdání se zisku</t>
  </si>
  <si>
    <t>předpokládaný roční obrat regulovaného zboží (max. do výše obratu v 1. roce provozování)</t>
  </si>
  <si>
    <r>
      <t xml:space="preserve">Index určený Zadavatelem - </t>
    </r>
    <r>
      <rPr>
        <i/>
        <sz val="7"/>
        <color theme="0"/>
        <rFont val="Arial"/>
        <family val="2"/>
        <charset val="238"/>
      </rPr>
      <t>[zde doplnit název]</t>
    </r>
  </si>
  <si>
    <t>Index</t>
  </si>
  <si>
    <t>za kalendářní rok:</t>
  </si>
  <si>
    <t>Skutečnost</t>
  </si>
  <si>
    <t>Rozdíl</t>
  </si>
  <si>
    <t>Skuteč.</t>
  </si>
  <si>
    <t>Úč. Sk.</t>
  </si>
  <si>
    <t>6a</t>
  </si>
  <si>
    <t>3a</t>
  </si>
  <si>
    <t>Prostředky obnovy infrastrukturního majetku</t>
  </si>
  <si>
    <t>20.</t>
  </si>
  <si>
    <t>Tvorba celkem od roku 2009</t>
  </si>
  <si>
    <t>Čerpání celkem od roku 2009</t>
  </si>
  <si>
    <t>Tvorba za rok</t>
  </si>
  <si>
    <t>Čerpání za rok</t>
  </si>
  <si>
    <t>Vod.</t>
  </si>
  <si>
    <t>Kan.</t>
  </si>
  <si>
    <t>POROVNÁNÍ VŠECH POLOŽEK VÝPOČTU (KALKULACE) CEN PRO VODNÉ A STOČNÉ</t>
  </si>
  <si>
    <r>
      <t xml:space="preserve">Soutěžní cena </t>
    </r>
    <r>
      <rPr>
        <i/>
        <sz val="10"/>
        <rFont val="Arial"/>
        <family val="2"/>
        <charset val="238"/>
      </rPr>
      <t>(není možné zasahovat do předdefinovaných vzorců)</t>
    </r>
  </si>
  <si>
    <r>
      <t xml:space="preserve">Údaje mimo modelovaný typ smlouvy/modelovanou délku smlouvy/pravidla OPŽP </t>
    </r>
    <r>
      <rPr>
        <i/>
        <sz val="10"/>
        <color theme="0"/>
        <rFont val="Arial"/>
        <family val="2"/>
        <charset val="238"/>
      </rPr>
      <t>(nevyplňovat)</t>
    </r>
  </si>
  <si>
    <t>Měrná jedn.</t>
  </si>
  <si>
    <t>Přepočet pro 1. rok provozování</t>
  </si>
  <si>
    <t xml:space="preserve"> - </t>
  </si>
  <si>
    <t xml:space="preserve"> %</t>
  </si>
  <si>
    <t>1. rok provozování</t>
  </si>
  <si>
    <t>Použité zkratky/pojmy</t>
  </si>
  <si>
    <t>VHI</t>
  </si>
  <si>
    <t>vodohospodářská infrastruktura</t>
  </si>
  <si>
    <t>Poslední rok provozování</t>
  </si>
  <si>
    <t>znamená rok, ve kterém bude zahájeno provozování VHI</t>
  </si>
  <si>
    <t>znamená rok, ve kterém bude ukončeno provozování VHI</t>
  </si>
  <si>
    <t>OPŽP</t>
  </si>
  <si>
    <t>Operační program Životní prostředí</t>
  </si>
  <si>
    <r>
      <t xml:space="preserve">Údaje mimo modelovaný typ smlouvy/modelovanou délku smlouvy/pravidla OPŽP </t>
    </r>
    <r>
      <rPr>
        <i/>
        <sz val="10"/>
        <rFont val="Arial"/>
        <family val="2"/>
        <charset val="238"/>
      </rPr>
      <t>(nevyplňovat)</t>
    </r>
  </si>
  <si>
    <t>Přepočet pro Poslední rok provozování v případě, že PS není účinná do 31.prosince</t>
  </si>
  <si>
    <t>Cenový strop</t>
  </si>
  <si>
    <t>Index nominálních mezd</t>
  </si>
  <si>
    <t>Seznam Indexů</t>
  </si>
  <si>
    <t>Platební mechanismus</t>
  </si>
  <si>
    <t xml:space="preserve">   </t>
  </si>
  <si>
    <t>Verze</t>
  </si>
  <si>
    <t>Datum</t>
  </si>
  <si>
    <t>Identifikační údaje</t>
  </si>
  <si>
    <t>Kontaktní adresa</t>
  </si>
  <si>
    <t>Telefonní číslo</t>
  </si>
  <si>
    <t xml:space="preserve">Název </t>
  </si>
  <si>
    <t>Kontaktní osoba</t>
  </si>
  <si>
    <t>Vlastník vodohospodářské infrastruktury</t>
  </si>
  <si>
    <r>
      <rPr>
        <b/>
        <sz val="7"/>
        <color theme="1"/>
        <rFont val="Arial"/>
        <family val="2"/>
        <charset val="238"/>
      </rPr>
      <t xml:space="preserve">Zásoby (Zas) = </t>
    </r>
    <r>
      <rPr>
        <sz val="7"/>
        <color theme="1"/>
        <rFont val="Arial"/>
        <family val="2"/>
        <charset val="238"/>
      </rPr>
      <t xml:space="preserve">
roční průměrná hodnota zásob</t>
    </r>
  </si>
  <si>
    <t>pro rok</t>
  </si>
  <si>
    <t>!Překročeno MAX. u PV nebo OV.</t>
  </si>
  <si>
    <r>
      <t xml:space="preserve">% </t>
    </r>
    <r>
      <rPr>
        <b/>
        <sz val="7"/>
        <rFont val="Arial"/>
        <family val="2"/>
        <charset val="238"/>
      </rPr>
      <t>*</t>
    </r>
  </si>
  <si>
    <t>Přepočet pro Poslední rok provozování</t>
  </si>
  <si>
    <t>Je třeba zvolit jednu ze dvou variant provozní smlouvy:</t>
  </si>
  <si>
    <t xml:space="preserve">Zjednodušený finanční model pro provozní smlouvy </t>
  </si>
  <si>
    <t>Uchazeč</t>
  </si>
  <si>
    <t>Zadavatel</t>
  </si>
  <si>
    <t>Vlastník</t>
  </si>
  <si>
    <t>ZFM</t>
  </si>
  <si>
    <t>Celkový index pro navýšení Cenového stropu pro Kalkulaci 
v roce</t>
  </si>
  <si>
    <t xml:space="preserve"> -</t>
  </si>
  <si>
    <t>Aktualizace</t>
  </si>
  <si>
    <t>Email</t>
  </si>
  <si>
    <t>Je nebo bude požadována investice vybraného provozovatele do Infrastrukturního majetku?</t>
  </si>
  <si>
    <t>Nájemné ve stálých cenách k 1. lednu 1. roku provozování (položka č. 4.3 Kalkulace)</t>
  </si>
  <si>
    <t>mil. m3</t>
  </si>
  <si>
    <t xml:space="preserve">PV </t>
  </si>
  <si>
    <t xml:space="preserve">OV </t>
  </si>
  <si>
    <t>pro projekty v Operačním programu Životní prostředí
Prioritní osa 1 - projekty zlepšování vodohospodářské infrastruktury a zlepšování kvality vod</t>
  </si>
  <si>
    <t>Tento dokument byl připraven pro Operační program Životní prostředí v programovém období 2007 - 2013 a 2014 - 2020 jako prostředek k zajištění některých požadavků Evropské komise vztahujících se k provozování vodohospodářské infrastruktury. Poskytovatel tohoto dokumentu, Státní fond životního prostředí ČR, nenese odpovědnost za důsledky užití tohoto dokumentu pro jiné účely, než pro které je určen a neodpovídá za škody a případné ztráty způsobené užitím tohoto dokumentu.</t>
  </si>
  <si>
    <t>Zjednodušený finanční model (tento MS Excel soubor)</t>
  </si>
  <si>
    <t>Provozovatel</t>
  </si>
  <si>
    <r>
      <t xml:space="preserve">Vstupy Provozovatele </t>
    </r>
    <r>
      <rPr>
        <i/>
        <sz val="10"/>
        <color indexed="9"/>
        <rFont val="Arial"/>
        <family val="2"/>
        <charset val="238"/>
      </rPr>
      <t>(bílý text k vyplnění Provozovatelem)</t>
    </r>
  </si>
  <si>
    <t>vlastník vodohospodářské infrastruktury</t>
  </si>
  <si>
    <t>Provozovatel vodohospodářské infrastruktury</t>
  </si>
  <si>
    <t xml:space="preserve">Změna indexu [%] pro Kalkulaci v </t>
  </si>
  <si>
    <t>Neaktivní</t>
  </si>
  <si>
    <t>Aktivní</t>
  </si>
  <si>
    <t>IČ</t>
  </si>
  <si>
    <t>Jedn. náklady celkem (bez DPH)</t>
  </si>
  <si>
    <t>Bude požadována investice Provozovatele do Infrastrukturního majetku formou realizace Investice Provozovatelem?</t>
  </si>
  <si>
    <t>Datum zahájení platnosti aktualizované Kalkulace</t>
  </si>
  <si>
    <r>
      <t xml:space="preserve">Od
</t>
    </r>
    <r>
      <rPr>
        <sz val="6"/>
        <color indexed="8"/>
        <rFont val="Arial"/>
        <family val="2"/>
        <charset val="238"/>
      </rPr>
      <t>[DD.MM.RRRR]</t>
    </r>
  </si>
  <si>
    <t>změna
indexu za 
2. pololetí</t>
  </si>
  <si>
    <t>změna
indexu za
1.pololetí</t>
  </si>
  <si>
    <t>Platnost:</t>
  </si>
  <si>
    <t>Váha v rámci hodnotícího kritéria [%]</t>
  </si>
  <si>
    <t>Platba za službu provozování bez DPH</t>
  </si>
  <si>
    <t>Platba za službu provozování bez DPH - variabilní složka</t>
  </si>
  <si>
    <t>DPH</t>
  </si>
  <si>
    <t xml:space="preserve">CENA pro vodné, stočné + DPH </t>
  </si>
  <si>
    <t xml:space="preserve">faktor R pro aktualizaci Kalkulace </t>
  </si>
  <si>
    <t>R faktor pokud PS nezačíná 1. ledna</t>
  </si>
  <si>
    <t>R faktor pokud PS nekončí 31. prosince</t>
  </si>
  <si>
    <t>rozdíl ve fakturovaných objemech oproti 1. roku provozu [%]</t>
  </si>
  <si>
    <t>objem PV/OV přepočítaný na celý kalendářní rok [mil. m3]</t>
  </si>
  <si>
    <t>Kč/tis. m3</t>
  </si>
  <si>
    <t>[Kč/tis. m3]</t>
  </si>
  <si>
    <t>Vzdání se zisku *</t>
  </si>
  <si>
    <t>Předpokládané objemy (PV - pol. D Kalkulace - Voda pitná fakturovaná, OV - pol. F Kalkulace - Voda odpadní odv. fakturovaná)**</t>
  </si>
  <si>
    <t>** Hodnoty zde uvedené se nepřenáší se do výpočtů v ZFM, podrobnosti viz Smlouva a Manuál.</t>
  </si>
  <si>
    <t>Cenová úroveň Soutěžní ceny je stanovena k 1. lednu 1. roku provozování.</t>
  </si>
  <si>
    <t>Rozbalovací menu pro vývěr provozovaných složek VHI</t>
  </si>
  <si>
    <t>Rozbalovací menu pro Aktualizace</t>
  </si>
  <si>
    <t>datum začátku 1. roku provozu</t>
  </si>
  <si>
    <t>datum konce posledního roku provozu</t>
  </si>
  <si>
    <t>Voda
pitná</t>
  </si>
  <si>
    <t>Voda
odpadní</t>
  </si>
  <si>
    <t>ÚVN-N</t>
  </si>
  <si>
    <t>Úspory v roce vzniku [mil. Kč]</t>
  </si>
  <si>
    <t>Datum zahájení provozování v kalendářním roce</t>
  </si>
  <si>
    <t>Datum konce provozování v kalendářním roce</t>
  </si>
  <si>
    <t>Datum začátku kalendářního roku</t>
  </si>
  <si>
    <t>Datum konce kalendářního roku</t>
  </si>
  <si>
    <r>
      <t xml:space="preserve">Přenesení úspor při Cenovém přezkoumání z předchozího ZFM </t>
    </r>
    <r>
      <rPr>
        <i/>
        <sz val="10"/>
        <color theme="0"/>
        <rFont val="Arial"/>
        <family val="2"/>
        <charset val="238"/>
      </rPr>
      <t>(bílý text k vyplnění Provozovatelem)</t>
    </r>
  </si>
  <si>
    <r>
      <t>Vstupy provozovatele</t>
    </r>
    <r>
      <rPr>
        <i/>
        <sz val="10"/>
        <rFont val="Arial"/>
        <family val="2"/>
        <charset val="238"/>
      </rPr>
      <t xml:space="preserve"> (umožňuje Provozovateli snížit hodnotu položky Kalkulace pod úroveň Cenového stropu)</t>
    </r>
  </si>
  <si>
    <t>Variabilní složka</t>
  </si>
  <si>
    <t>Základní barevná konvence použitá ve Zjednodušeném finančním modelu</t>
  </si>
  <si>
    <t>Legenda k použitým zkratkám a kompletnímu barevnému značení používanému v tomto dokumentu je uvedena na listu Legenda.</t>
  </si>
  <si>
    <t>!Součet musí být 100%.</t>
  </si>
  <si>
    <t>znamená část A této Přílohy Smlouvy</t>
  </si>
  <si>
    <t>Úplné vlastní náklady bez Nájemného (tj. pol. 10 Kalkulace mínus pol. 4.3 Kalkulace)</t>
  </si>
  <si>
    <t>Rozbalovací menu pro výběr typu provozní smlouvy</t>
  </si>
  <si>
    <t>Tabulka pro výpočet přiměřeného zisku a použitého kapitálu v Době provozování dle Platebního mechanismu</t>
  </si>
  <si>
    <t>!Meziroční nárůst zisku u PV nebo OV překročil povolených 7%.</t>
  </si>
  <si>
    <t>Uchazeč vyplní buňky určené pro vyplnění Provozovatelem na listech Krycí list a Nabídka.</t>
  </si>
  <si>
    <t>MAX.</t>
  </si>
  <si>
    <t>maximum</t>
  </si>
  <si>
    <r>
      <rPr>
        <b/>
        <sz val="7"/>
        <color theme="1"/>
        <rFont val="Arial"/>
        <family val="2"/>
        <charset val="238"/>
      </rPr>
      <t>*</t>
    </r>
    <r>
      <rPr>
        <sz val="7"/>
        <color theme="1"/>
        <rFont val="Arial"/>
        <family val="2"/>
        <charset val="238"/>
      </rPr>
      <t xml:space="preserve"> výše vzdání se zisku v % bude závazná po celou Dobu provozování</t>
    </r>
  </si>
  <si>
    <t>Je třeba získat souhlasné rozhodnutí MF.</t>
  </si>
  <si>
    <t>MF</t>
  </si>
  <si>
    <t>Ministerstvo Financí</t>
  </si>
  <si>
    <t>MIN.</t>
  </si>
  <si>
    <t>minimum</t>
  </si>
  <si>
    <t>!Překročeno MIN. u PV nebo OV.</t>
  </si>
  <si>
    <t>Stanovení ceny pro V/S v Době provozování, Cenové přezkoumání</t>
  </si>
  <si>
    <t>Cenové přezkoumání je možné provést při splnění podmínek stanovených v Platebním mechanismu.</t>
  </si>
  <si>
    <t>SFŽP</t>
  </si>
  <si>
    <t>Státní fond životního prostředí ČR</t>
  </si>
  <si>
    <t>Cenová úroveň na listu Nabídka a cenová úroveň Nájemného na listu Postup je stanovena k 1. lednu 1. roku provozování.</t>
  </si>
  <si>
    <t>Cena pro vodné a stočné v Době provozování</t>
  </si>
  <si>
    <t>Změny indexů používaných pro navýšení Cenového stropu v Době provozování</t>
  </si>
  <si>
    <t>Doba provozování</t>
  </si>
  <si>
    <t xml:space="preserve">předpokládaný roční obrat regulovaného zboží </t>
  </si>
  <si>
    <t xml:space="preserve">předpokládané roční provozní náklady na regulované zboží </t>
  </si>
  <si>
    <t>předpokládané roční provozní náklady na regulované zboží (min. ve výši ročních provozních nákladů v 1. roce provozu)</t>
  </si>
  <si>
    <t xml:space="preserve">Je třeba zvolit jaká složka/složky vodohospodářské infrastruktury budou provozovány: </t>
  </si>
  <si>
    <t>Prostředky na Obnovu v běžných cenách příslušného roku (poskytované závazně Vlastníkem dle Platebního mechanismu)*</t>
  </si>
  <si>
    <t>** Hodnoty zde uvedené jsou pouze nezávazným předpokladem Vlastníka o vývoji objemů PV/OV v Době provozování, nepřenáší se do výpočtů v ZFM, podrobnosti viz Manuál.</t>
  </si>
  <si>
    <t>Cenové hodnotící kritérium v případě Koncesní smlouvy:</t>
  </si>
  <si>
    <t>Cenové hodnotící kritérium v případě Služení provozní smlouvy:</t>
  </si>
  <si>
    <t>Vyplnění dalších údajů v ZFM Zadavatelem</t>
  </si>
  <si>
    <t xml:space="preserve">Stanovení vstupních údajů v ZFM Zadavatelem </t>
  </si>
  <si>
    <t>Vyplnění ZFM Uchazečem v rámci koncesního/výběrového řízení, Cenové hodnotící kritérium</t>
  </si>
  <si>
    <t xml:space="preserve">Aktualizace dat před zahájením provozování </t>
  </si>
  <si>
    <t>V případech, kdy dojde před zahájením provozování ke změnám předpokladů, je možné před zahájením provozování některé parametry ZFM přenastavit na listu Provozování podle pravidel stanovených v Platebním mechanismu.</t>
  </si>
  <si>
    <t>Níže jsou popsány jednotlivé kroky postupu při výběru provozovatele vodohospodářské infrastruktury v koncesním nebo výběrovém řízení a úkony při zahájení provozu a v Době provozování. Podrobný návod pro vyplnění ZFM je uveden v Manuálu.</t>
  </si>
  <si>
    <t>*** odečet Úspor probíhá na listu Kalkulace a Porovnání, Úspory jsou započítány do položky 7. Finanční výnosy</t>
  </si>
  <si>
    <t>Výpočet Cenového stropu v Době provozování dle Platebního mechanismu,
Aktualizace výpočtu Cenového stropu v průběhu roku</t>
  </si>
  <si>
    <t>Změna Indexu spotřebitelských cen mezi vznikem a uplatněním Úspor</t>
  </si>
  <si>
    <t>Úspory v roce jejich uplatnění v Kalkulaci [mil. Kč]***</t>
  </si>
  <si>
    <t>!Nájemné ve složce PV je nižší než nájemné uvedené na listu Postup, indexované. Je třeba získat souhlas SFŽP.</t>
  </si>
  <si>
    <t>!Nájemné ve složce OV je nižší než nájemné uvedené na listu Postup, indexované. Je třeba získat souhlas SFŽP.</t>
  </si>
  <si>
    <t>Aktualizovaná kalkulace - faktor R, faktor S</t>
  </si>
  <si>
    <t>faktor S pro součet Kalkulace a Aktualizované kalkulace v Porovnání</t>
  </si>
  <si>
    <t>Smlouva</t>
  </si>
  <si>
    <t>Manuál</t>
  </si>
  <si>
    <t>Obnova</t>
  </si>
  <si>
    <t>Investice</t>
  </si>
  <si>
    <t>Úspory</t>
  </si>
  <si>
    <t>OPK</t>
  </si>
  <si>
    <t>celková hodnota kapitálu použitého pro potřeby výroby a prodeje zboží s regulovanou cenou</t>
  </si>
  <si>
    <t>míra výnosnosti použitého kapitálu stanovená Ministerstvem financí</t>
  </si>
  <si>
    <t>uchazeč v koncesním nebo výběrovém řízení</t>
  </si>
  <si>
    <t>zadavatel v koncesním nebo výběrovém řízení</t>
  </si>
  <si>
    <t>kladná hodnota vyčíslená v Porovnání v pol. 10 Úplné vlastní náklady ve sloupci Rozdíl po odečtení Nájemného, tj. kladná hodnota v pol. 10 Úplné vlastní náklady ve sloupci Rozdíl minus pol. 4.3 Nájemné</t>
  </si>
  <si>
    <t>provozní smlouva, jejíž přílohu tvoří tento dokument</t>
  </si>
  <si>
    <t>znamená období, po které je účinná Smlouva</t>
  </si>
  <si>
    <t>znamená manuál k Zjednodušenému finančnímu modelu pro OPŽP ve verzi ZFM02, tento dokument je uveřejněný na webových stránkách  www.opzp.cz</t>
  </si>
  <si>
    <t xml:space="preserve">znamená realizaci takových opatření, která odstraňují částečné nebo úplné morální a fyzické opotřebení, čímž se zajistí zachování původních užitných hodnot hmotného i nehmotného Majetku. </t>
  </si>
  <si>
    <t>maximální hodnota jednotlivých položek Kalkulace; je určen nabídkou provozovatele pro každou položku Kalkulace a je možné ho měnit pouze podle pravidel pro meziroční změny položek Kalkulace uvedených v této Příloze Smlouvy nebo při Cenovém Přezkoumání</t>
  </si>
  <si>
    <t>Cenové přezkoumání</t>
  </si>
  <si>
    <t>přezkoumání výše Cenového stropu v průběhu platnosti Smlouvy</t>
  </si>
  <si>
    <t>znamená pořízení nového Majetku</t>
  </si>
  <si>
    <t>Majetek</t>
  </si>
  <si>
    <t>znamená jakýkoliv majetek Vlastníka, který je Provozovatel oprávněn užívat na základě Smlouvy (včetně práv duševního vlastnictví), jak je specifikován v příslušných přílohách Smlouvy</t>
  </si>
  <si>
    <t>odpadní voda</t>
  </si>
  <si>
    <t>provozovatel vodohospodářské infrastruktury; ve fázi před uzavřením provozní smlouvy může být označován jako Uchazeč</t>
  </si>
  <si>
    <t>provozní smlouva (koncesní smlouva nebo služební provozní smlouva)</t>
  </si>
  <si>
    <t>pitná voda</t>
  </si>
  <si>
    <t>!Doba provozování u Služební provozní smlouvy nesmí být delší než 5 let.</t>
  </si>
  <si>
    <t>!Doba provozování u Koncesní smlouvy nesmí být delší než 10 let.</t>
  </si>
  <si>
    <t>Je tento ZFM využíván po Cenovém přezkoumání?</t>
  </si>
  <si>
    <t>Zadavatel vyplní buňky určené pro vyplnění Zadavatelem na listech Krycí list, Postup a Nabídka a v případě změny standardního nastavení indexů i na listu Provozování.</t>
  </si>
  <si>
    <t>Cena pro vodné a/nebo stočné bez DPH</t>
  </si>
  <si>
    <t>Cena pro vodné a/nebo stočné bez DPH - variabilní složka</t>
  </si>
  <si>
    <t>Výpočet ceny pro V/S proběhne po vyplnění potřebných údajů pro příslušný rok v označených polích na listu Provozování. Cena pro V/S na listu Provozování je na úrovni Cenového stropu a je to tedy cena maximální. Na listu Kalkulace a Porovnání má Provozovatel možnost snížit tuto cenu postupem popsaným v Manuálu. Na listu Kalkulace a Porovnání dochází také k výpočtu a uplatnění dělení Úspor.</t>
  </si>
  <si>
    <t>V/S</t>
  </si>
  <si>
    <t>vodné a/nebo stočné</t>
  </si>
  <si>
    <t>Nabídková kalkulace ceny pro vodné a ceny pro stočné dle Př. č. 19 k vyhl. č. 428/2001 Sb.</t>
  </si>
  <si>
    <t>Výpočet ceny pro vodné a ceny pro stočné dle Př. č. 19 k vyhl. č. 428/2001 Sb.</t>
  </si>
  <si>
    <t>Aktualizace - Výpočet ceny pro vodné a ceny pro stočné dle Př. č. 19 k vyhl. č. 428/2001 Sb.</t>
  </si>
  <si>
    <t>dle Př. č. 20 k vyhl. č. 428/2001 Sb.</t>
  </si>
  <si>
    <t>znamená výpočet ceny pro vodné a ceny pro stočné dle Př. č. 19 k vyhlášce č. 428/2001 Sb.</t>
  </si>
  <si>
    <t>-</t>
  </si>
  <si>
    <t xml:space="preserve"> - odpisy</t>
  </si>
  <si>
    <t>hodnota odpisů zbývající do dalších let</t>
  </si>
  <si>
    <t>celosmluvní Cenový strop pro pol. 4.1 - odpisy</t>
  </si>
  <si>
    <t>Zbývající celosmluvní Cenový strop pro pol. 4.1 - odpisy [mil. Kč]</t>
  </si>
  <si>
    <t>Podíl úspor připadající Odběratelům/Vlastníkovi [mil. Kč]</t>
  </si>
  <si>
    <t xml:space="preserve">Celkový podíl úspor připadající Odběratelům/Vlastníkovi [mil. Kč] </t>
  </si>
  <si>
    <t>max. hodnota odpisů přepočítaná na celý kalendářní rok</t>
  </si>
  <si>
    <t>a.</t>
  </si>
  <si>
    <t>b.</t>
  </si>
  <si>
    <t>c.</t>
  </si>
  <si>
    <t>Cena pro vodné, stočné bez DPH (Kalkulace) [Kč/m3]</t>
  </si>
  <si>
    <t>Voda fakturovaná pitná, odpadní+srážková (Kalkulace) [mil. m3]</t>
  </si>
  <si>
    <t>Voda fakturovaná pitná, odpadní+srážková (Skutečnost) [mil. m3]</t>
  </si>
  <si>
    <t>d.</t>
  </si>
  <si>
    <t>e.</t>
  </si>
  <si>
    <t>Pásmo dělení úspor I - do 5% ÚVN-N včetně (dělení 50:50)</t>
  </si>
  <si>
    <t>Pásmo dělení úspor II - od 5% do 10% ÚVN-N včetně (dělení 80:20)</t>
  </si>
  <si>
    <t>Pásmo dělení úspor III - od 10% ÚVN-N (dělení 100:0)</t>
  </si>
  <si>
    <t>Úspora / ztráta provozovatele</t>
  </si>
  <si>
    <t xml:space="preserve"> - nájem infrastrukturního majetku</t>
  </si>
  <si>
    <t>ÚVN-N (Skutečnost) [mil. Kč]</t>
  </si>
  <si>
    <t>ÚVN-N (Kalkulace) [mil. Kč]</t>
  </si>
  <si>
    <t>Úspory vzniklé v předposledním roce provozování podle předchozího ZFM  [mil. Kč]</t>
  </si>
  <si>
    <t>Úspory vzniklé v posledním roce provozování podle předchozího ZFM  [mil. Kč]</t>
  </si>
  <si>
    <t>Podíl úspor z ÚVN-N (Kalkulace) [%]</t>
  </si>
  <si>
    <t>Je požadována investice Provozovatele do Infrastrukturního majetku formou odkupu již existujícího majetku?</t>
  </si>
  <si>
    <t xml:space="preserve">roční provozní náklady na regulované zboží </t>
  </si>
  <si>
    <t>pol. 2</t>
  </si>
  <si>
    <t>Provozní majetek</t>
  </si>
  <si>
    <t>pozn. k pol. 3a, 3b, 3c: V 1.roce je strop vypočítán z hodnot uvedených v Nabídce. Od 2. roku provozu se strop vypočítává pro příslušný rok vždy z hodnot předchozího roku v Porovnání ve sloupcích Kalkulace (na listu Kalkulace a Porovnání, sloupce X,Z pro Vodu Pitnou a AA, AB pro Vodu odpadní).</t>
  </si>
  <si>
    <t>Výpočet zisku provozovatele - Cenový strop pro pol. 2 (Provozní majetek) a 3 (Provozní kapitál)</t>
  </si>
  <si>
    <r>
      <t>1% ročního obratu regulovaného zboží</t>
    </r>
    <r>
      <rPr>
        <sz val="8"/>
        <rFont val="Arial"/>
        <family val="2"/>
        <charset val="238"/>
      </rPr>
      <t xml:space="preserve"> bez DPH</t>
    </r>
  </si>
  <si>
    <t>f.</t>
  </si>
  <si>
    <t>Úspory v roce jejich uplatnění v Kalkulaci [mil. Kč]</t>
  </si>
  <si>
    <t xml:space="preserve"> = (a*b-a*c)+(d-e)-f</t>
  </si>
  <si>
    <t>Tabulka pro výpočet přiměřeného zisku a použitého kapitálu dle výměru MF upravená pro účely naplnění podmínek OPŽP</t>
  </si>
  <si>
    <t>Částka k dělení [mil. Kč]</t>
  </si>
  <si>
    <t>Upozornění</t>
  </si>
  <si>
    <r>
      <t xml:space="preserve">Vstupy Vlastníka </t>
    </r>
    <r>
      <rPr>
        <i/>
        <sz val="10"/>
        <color indexed="9"/>
        <rFont val="Arial"/>
        <family val="2"/>
        <charset val="238"/>
      </rPr>
      <t>(bílý text k vyplnění Zadavatelem)</t>
    </r>
  </si>
  <si>
    <t>ZFM 1.0</t>
  </si>
  <si>
    <t>VI.2017</t>
  </si>
  <si>
    <t>Město Kraslice</t>
  </si>
  <si>
    <t>Emil Bahno</t>
  </si>
  <si>
    <t>náměstí 28. října 1438, 358 20 Kraslice</t>
  </si>
  <si>
    <t>352370450</t>
  </si>
  <si>
    <t>bahno@meu.kraslice.cz</t>
  </si>
  <si>
    <t>1.7.2018.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</si>
</sst>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#0.000"/>
    <numFmt numFmtId="165" formatCode="#0.00"/>
    <numFmt numFmtId="166" formatCode="#0"/>
    <numFmt numFmtId="167" formatCode="#,##0.000"/>
    <numFmt numFmtId="168" formatCode="0.000"/>
    <numFmt numFmtId="169" formatCode="d/m/yyyy;@"/>
    <numFmt numFmtId="170" formatCode="0.000\ 000"/>
    <numFmt numFmtId="171" formatCode="0.0"/>
  </numFmts>
  <fonts count="7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9"/>
      <name val="Arial"/>
      <family val="2"/>
      <charset val="238"/>
    </font>
    <font>
      <i/>
      <sz val="10"/>
      <color indexed="9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indexed="8"/>
      <name val="Arial"/>
      <family val="2"/>
      <charset val="238"/>
    </font>
    <font>
      <sz val="7"/>
      <color theme="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i/>
      <sz val="7"/>
      <color theme="0"/>
      <name val="Arial"/>
      <family val="2"/>
      <charset val="238"/>
    </font>
    <font>
      <sz val="6.3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sz val="11"/>
      <color theme="0" tint="-0.1499984740745262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sz val="8"/>
      <name val="Arial"/>
      <family val="2"/>
      <charset val="238"/>
    </font>
    <font>
      <sz val="16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7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0" tint="-0.249977111117893"/>
      <name val="Arial"/>
      <family val="2"/>
      <charset val="238"/>
    </font>
    <font>
      <sz val="11"/>
      <name val="Arial"/>
      <family val="2"/>
      <charset val="238"/>
    </font>
    <font>
      <sz val="7"/>
      <color theme="0" tint="-0.249977111117893"/>
      <name val="Arial"/>
      <family val="2"/>
      <charset val="238"/>
    </font>
    <font>
      <b/>
      <sz val="7"/>
      <color theme="0" tint="-0.249977111117893"/>
      <name val="Arial"/>
      <family val="2"/>
      <charset val="238"/>
    </font>
    <font>
      <sz val="9"/>
      <name val="Arial"/>
      <family val="2"/>
      <charset val="238"/>
    </font>
    <font>
      <b/>
      <sz val="7"/>
      <color theme="0"/>
      <name val="Arial"/>
      <family val="2"/>
      <charset val="238"/>
    </font>
    <font>
      <sz val="6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sz val="7"/>
      <color theme="0" tint="-0.249977111117893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sz val="7"/>
      <color rgb="FFFF000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0" tint="-0.14999847407452621"/>
      <name val="Arial"/>
      <family val="2"/>
      <charset val="238"/>
    </font>
    <font>
      <sz val="9"/>
      <color theme="0" tint="-0.249977111117893"/>
      <name val="Arial"/>
      <family val="2"/>
      <charset val="238"/>
    </font>
    <font>
      <sz val="6.8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C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rgb="FF34CC33"/>
        <bgColor indexed="64"/>
      </patternFill>
    </fill>
    <fill>
      <patternFill patternType="solid">
        <fgColor rgb="FFFE9900"/>
        <bgColor indexed="64"/>
      </patternFill>
    </fill>
    <fill>
      <patternFill patternType="solid">
        <fgColor rgb="FFCDFFCC"/>
        <bgColor indexed="64"/>
      </patternFill>
    </fill>
    <fill>
      <patternFill patternType="solid">
        <fgColor rgb="FFFECC66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8DB4E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8" fillId="0" borderId="66" applyNumberFormat="0" applyFill="0" applyAlignment="0" applyProtection="0"/>
    <xf numFmtId="0" fontId="39" fillId="15" borderId="0" applyNumberFormat="0" applyBorder="0" applyAlignment="0" applyProtection="0"/>
    <xf numFmtId="0" fontId="40" fillId="28" borderId="67" applyNumberFormat="0" applyAlignment="0" applyProtection="0"/>
    <xf numFmtId="0" fontId="41" fillId="0" borderId="68" applyNumberFormat="0" applyFill="0" applyAlignment="0" applyProtection="0"/>
    <xf numFmtId="0" fontId="42" fillId="0" borderId="69" applyNumberFormat="0" applyFill="0" applyAlignment="0" applyProtection="0"/>
    <xf numFmtId="0" fontId="43" fillId="0" borderId="70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29" borderId="0" applyNumberFormat="0" applyBorder="0" applyAlignment="0" applyProtection="0"/>
    <xf numFmtId="0" fontId="2" fillId="0" borderId="0"/>
    <xf numFmtId="0" fontId="36" fillId="30" borderId="71" applyNumberFormat="0" applyFont="0" applyAlignment="0" applyProtection="0"/>
    <xf numFmtId="0" fontId="46" fillId="0" borderId="72" applyNumberFormat="0" applyFill="0" applyAlignment="0" applyProtection="0"/>
    <xf numFmtId="0" fontId="47" fillId="16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19" borderId="73" applyNumberFormat="0" applyAlignment="0" applyProtection="0"/>
    <xf numFmtId="0" fontId="50" fillId="31" borderId="73" applyNumberFormat="0" applyAlignment="0" applyProtection="0"/>
    <xf numFmtId="0" fontId="51" fillId="31" borderId="74" applyNumberFormat="0" applyAlignment="0" applyProtection="0"/>
    <xf numFmtId="0" fontId="52" fillId="0" borderId="0" applyNumberFormat="0" applyFill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8" fillId="0" borderId="0" applyNumberFormat="0" applyFill="0" applyBorder="0" applyAlignment="0" applyProtection="0"/>
  </cellStyleXfs>
  <cellXfs count="1015">
    <xf numFmtId="0" fontId="0" fillId="0" borderId="0" xfId="0"/>
    <xf numFmtId="0" fontId="4" fillId="2" borderId="0" xfId="3" applyFont="1" applyFill="1"/>
    <xf numFmtId="0" fontId="4" fillId="2" borderId="1" xfId="3" applyFont="1" applyFill="1" applyBorder="1"/>
    <xf numFmtId="0" fontId="4" fillId="2" borderId="6" xfId="3" applyFont="1" applyFill="1" applyBorder="1" applyAlignment="1">
      <alignment horizontal="center"/>
    </xf>
    <xf numFmtId="0" fontId="4" fillId="2" borderId="7" xfId="3" applyFont="1" applyFill="1" applyBorder="1"/>
    <xf numFmtId="0" fontId="4" fillId="2" borderId="7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3" xfId="3" applyFont="1" applyFill="1" applyBorder="1"/>
    <xf numFmtId="49" fontId="5" fillId="2" borderId="6" xfId="3" applyNumberFormat="1" applyFont="1" applyFill="1" applyBorder="1"/>
    <xf numFmtId="0" fontId="5" fillId="2" borderId="6" xfId="3" applyFont="1" applyFill="1" applyBorder="1"/>
    <xf numFmtId="0" fontId="5" fillId="2" borderId="6" xfId="3" applyFont="1" applyFill="1" applyBorder="1" applyAlignment="1">
      <alignment horizontal="center"/>
    </xf>
    <xf numFmtId="49" fontId="4" fillId="2" borderId="6" xfId="3" applyNumberFormat="1" applyFont="1" applyFill="1" applyBorder="1"/>
    <xf numFmtId="0" fontId="4" fillId="2" borderId="6" xfId="3" applyFont="1" applyFill="1" applyBorder="1"/>
    <xf numFmtId="164" fontId="4" fillId="2" borderId="6" xfId="3" applyNumberFormat="1" applyFont="1" applyFill="1" applyBorder="1"/>
    <xf numFmtId="164" fontId="4" fillId="2" borderId="9" xfId="3" applyNumberFormat="1" applyFont="1" applyFill="1" applyBorder="1"/>
    <xf numFmtId="0" fontId="4" fillId="2" borderId="11" xfId="3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4" fillId="2" borderId="11" xfId="3" applyFont="1" applyFill="1" applyBorder="1"/>
    <xf numFmtId="0" fontId="4" fillId="2" borderId="9" xfId="3" applyFont="1" applyFill="1" applyBorder="1" applyAlignment="1">
      <alignment horizontal="center"/>
    </xf>
    <xf numFmtId="0" fontId="6" fillId="2" borderId="12" xfId="3" applyFont="1" applyFill="1" applyBorder="1"/>
    <xf numFmtId="0" fontId="4" fillId="2" borderId="6" xfId="3" quotePrefix="1" applyFont="1" applyFill="1" applyBorder="1"/>
    <xf numFmtId="0" fontId="5" fillId="2" borderId="9" xfId="3" applyFont="1" applyFill="1" applyBorder="1" applyAlignment="1">
      <alignment horizontal="center"/>
    </xf>
    <xf numFmtId="0" fontId="4" fillId="2" borderId="16" xfId="3" applyFont="1" applyFill="1" applyBorder="1" applyAlignment="1">
      <alignment horizontal="center"/>
    </xf>
    <xf numFmtId="0" fontId="4" fillId="2" borderId="8" xfId="3" applyFont="1" applyFill="1" applyBorder="1" applyAlignment="1">
      <alignment horizontal="center" vertical="center"/>
    </xf>
    <xf numFmtId="0" fontId="1" fillId="0" borderId="0" xfId="0" applyFont="1"/>
    <xf numFmtId="0" fontId="4" fillId="2" borderId="2" xfId="3" applyFont="1" applyFill="1" applyBorder="1" applyAlignment="1">
      <alignment horizontal="center"/>
    </xf>
    <xf numFmtId="0" fontId="4" fillId="2" borderId="4" xfId="3" applyFont="1" applyFill="1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4" fillId="0" borderId="9" xfId="3" applyFont="1" applyBorder="1" applyAlignment="1">
      <alignment horizontal="center"/>
    </xf>
    <xf numFmtId="0" fontId="11" fillId="0" borderId="0" xfId="0" applyFont="1"/>
    <xf numFmtId="164" fontId="4" fillId="0" borderId="9" xfId="3" applyNumberFormat="1" applyFont="1" applyBorder="1"/>
    <xf numFmtId="0" fontId="13" fillId="0" borderId="0" xfId="0" applyFont="1"/>
    <xf numFmtId="0" fontId="15" fillId="0" borderId="0" xfId="0" applyFont="1"/>
    <xf numFmtId="0" fontId="13" fillId="0" borderId="9" xfId="0" applyFont="1" applyBorder="1"/>
    <xf numFmtId="2" fontId="13" fillId="0" borderId="0" xfId="0" applyNumberFormat="1" applyFont="1"/>
    <xf numFmtId="0" fontId="16" fillId="0" borderId="0" xfId="0" applyFont="1"/>
    <xf numFmtId="0" fontId="4" fillId="2" borderId="6" xfId="3" applyFont="1" applyFill="1" applyBorder="1" applyAlignment="1">
      <alignment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vertical="center"/>
    </xf>
    <xf numFmtId="0" fontId="4" fillId="0" borderId="6" xfId="3" applyFont="1" applyBorder="1"/>
    <xf numFmtId="0" fontId="4" fillId="0" borderId="1" xfId="3" applyFont="1" applyBorder="1"/>
    <xf numFmtId="49" fontId="5" fillId="0" borderId="6" xfId="3" applyNumberFormat="1" applyFont="1" applyBorder="1"/>
    <xf numFmtId="0" fontId="5" fillId="0" borderId="6" xfId="3" applyFont="1" applyBorder="1"/>
    <xf numFmtId="164" fontId="5" fillId="0" borderId="6" xfId="3" applyNumberFormat="1" applyFont="1" applyBorder="1"/>
    <xf numFmtId="49" fontId="4" fillId="0" borderId="6" xfId="3" applyNumberFormat="1" applyFont="1" applyBorder="1"/>
    <xf numFmtId="0" fontId="4" fillId="0" borderId="6" xfId="3" applyFont="1" applyBorder="1" applyAlignment="1">
      <alignment horizontal="center"/>
    </xf>
    <xf numFmtId="164" fontId="4" fillId="0" borderId="6" xfId="3" applyNumberFormat="1" applyFont="1" applyBorder="1"/>
    <xf numFmtId="0" fontId="4" fillId="0" borderId="6" xfId="3" quotePrefix="1" applyFont="1" applyBorder="1"/>
    <xf numFmtId="0" fontId="4" fillId="0" borderId="0" xfId="3" quotePrefix="1" applyFont="1"/>
    <xf numFmtId="0" fontId="4" fillId="0" borderId="0" xfId="3" applyFont="1"/>
    <xf numFmtId="0" fontId="4" fillId="0" borderId="0" xfId="3" applyFont="1" applyProtection="1">
      <protection locked="0"/>
    </xf>
    <xf numFmtId="0" fontId="4" fillId="0" borderId="4" xfId="3" applyFont="1" applyBorder="1"/>
    <xf numFmtId="0" fontId="3" fillId="0" borderId="9" xfId="0" applyFont="1" applyBorder="1"/>
    <xf numFmtId="0" fontId="12" fillId="0" borderId="9" xfId="0" applyFont="1" applyBorder="1" applyAlignment="1">
      <alignment horizontal="center" vertical="center" wrapText="1"/>
    </xf>
    <xf numFmtId="49" fontId="4" fillId="0" borderId="1" xfId="3" applyNumberFormat="1" applyFont="1" applyBorder="1"/>
    <xf numFmtId="164" fontId="4" fillId="0" borderId="1" xfId="3" applyNumberFormat="1" applyFont="1" applyBorder="1"/>
    <xf numFmtId="164" fontId="4" fillId="0" borderId="16" xfId="3" applyNumberFormat="1" applyFont="1" applyBorder="1"/>
    <xf numFmtId="164" fontId="4" fillId="0" borderId="2" xfId="3" applyNumberFormat="1" applyFont="1" applyBorder="1"/>
    <xf numFmtId="0" fontId="0" fillId="0" borderId="13" xfId="0" applyBorder="1"/>
    <xf numFmtId="0" fontId="4" fillId="0" borderId="20" xfId="3" applyFont="1" applyBorder="1" applyAlignment="1">
      <alignment horizontal="center"/>
    </xf>
    <xf numFmtId="0" fontId="4" fillId="0" borderId="24" xfId="3" applyFont="1" applyBorder="1" applyAlignment="1">
      <alignment horizontal="center"/>
    </xf>
    <xf numFmtId="0" fontId="13" fillId="0" borderId="28" xfId="0" applyFont="1" applyBorder="1"/>
    <xf numFmtId="0" fontId="15" fillId="0" borderId="28" xfId="0" applyFont="1" applyBorder="1"/>
    <xf numFmtId="0" fontId="14" fillId="0" borderId="28" xfId="0" applyFont="1" applyBorder="1"/>
    <xf numFmtId="0" fontId="14" fillId="0" borderId="29" xfId="0" applyFont="1" applyBorder="1"/>
    <xf numFmtId="0" fontId="15" fillId="0" borderId="30" xfId="0" applyFont="1" applyBorder="1"/>
    <xf numFmtId="0" fontId="13" fillId="0" borderId="31" xfId="0" applyFont="1" applyBorder="1"/>
    <xf numFmtId="0" fontId="13" fillId="0" borderId="32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7" xfId="0" applyFont="1" applyBorder="1"/>
    <xf numFmtId="167" fontId="3" fillId="0" borderId="32" xfId="0" applyNumberFormat="1" applyFont="1" applyBorder="1"/>
    <xf numFmtId="167" fontId="15" fillId="0" borderId="31" xfId="0" applyNumberFormat="1" applyFont="1" applyBorder="1"/>
    <xf numFmtId="167" fontId="3" fillId="0" borderId="31" xfId="0" applyNumberFormat="1" applyFont="1" applyBorder="1"/>
    <xf numFmtId="2" fontId="13" fillId="0" borderId="31" xfId="0" applyNumberFormat="1" applyFont="1" applyBorder="1"/>
    <xf numFmtId="0" fontId="13" fillId="0" borderId="42" xfId="0" applyFont="1" applyBorder="1" applyAlignment="1">
      <alignment horizontal="left" wrapText="1"/>
    </xf>
    <xf numFmtId="0" fontId="3" fillId="0" borderId="9" xfId="3" applyBorder="1" applyAlignment="1">
      <alignment horizontal="center"/>
    </xf>
    <xf numFmtId="167" fontId="3" fillId="0" borderId="9" xfId="0" applyNumberFormat="1" applyFont="1" applyBorder="1"/>
    <xf numFmtId="0" fontId="13" fillId="0" borderId="42" xfId="0" applyFont="1" applyBorder="1"/>
    <xf numFmtId="0" fontId="3" fillId="0" borderId="0" xfId="3"/>
    <xf numFmtId="168" fontId="4" fillId="6" borderId="9" xfId="3" applyNumberFormat="1" applyFont="1" applyFill="1" applyBorder="1"/>
    <xf numFmtId="9" fontId="4" fillId="0" borderId="9" xfId="3" applyNumberFormat="1" applyFont="1" applyBorder="1"/>
    <xf numFmtId="0" fontId="8" fillId="0" borderId="37" xfId="0" applyFont="1" applyBorder="1"/>
    <xf numFmtId="0" fontId="18" fillId="6" borderId="0" xfId="0" applyFont="1" applyFill="1"/>
    <xf numFmtId="0" fontId="4" fillId="2" borderId="9" xfId="3" applyFont="1" applyFill="1" applyBorder="1" applyAlignment="1">
      <alignment vertical="center"/>
    </xf>
    <xf numFmtId="0" fontId="4" fillId="2" borderId="16" xfId="3" applyFont="1" applyFill="1" applyBorder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left"/>
    </xf>
    <xf numFmtId="49" fontId="4" fillId="2" borderId="16" xfId="3" applyNumberFormat="1" applyFont="1" applyFill="1" applyBorder="1" applyAlignment="1">
      <alignment horizontal="center"/>
    </xf>
    <xf numFmtId="49" fontId="4" fillId="2" borderId="44" xfId="3" applyNumberFormat="1" applyFont="1" applyFill="1" applyBorder="1"/>
    <xf numFmtId="0" fontId="4" fillId="0" borderId="46" xfId="3" applyFont="1" applyBorder="1" applyAlignment="1">
      <alignment horizontal="center"/>
    </xf>
    <xf numFmtId="0" fontId="13" fillId="8" borderId="0" xfId="0" applyFont="1" applyFill="1"/>
    <xf numFmtId="0" fontId="14" fillId="8" borderId="0" xfId="0" applyFont="1" applyFill="1"/>
    <xf numFmtId="0" fontId="13" fillId="9" borderId="0" xfId="0" applyFont="1" applyFill="1"/>
    <xf numFmtId="0" fontId="14" fillId="9" borderId="0" xfId="0" applyFont="1" applyFill="1"/>
    <xf numFmtId="164" fontId="5" fillId="0" borderId="9" xfId="3" applyNumberFormat="1" applyFont="1" applyBorder="1"/>
    <xf numFmtId="164" fontId="4" fillId="0" borderId="3" xfId="3" applyNumberFormat="1" applyFont="1" applyBorder="1"/>
    <xf numFmtId="164" fontId="5" fillId="0" borderId="1" xfId="3" applyNumberFormat="1" applyFont="1" applyBorder="1"/>
    <xf numFmtId="0" fontId="4" fillId="2" borderId="13" xfId="3" applyFont="1" applyFill="1" applyBorder="1"/>
    <xf numFmtId="0" fontId="4" fillId="2" borderId="16" xfId="3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 wrapText="1"/>
    </xf>
    <xf numFmtId="0" fontId="24" fillId="2" borderId="16" xfId="3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left" wrapText="1"/>
    </xf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4" fillId="0" borderId="0" xfId="3" applyNumberFormat="1" applyFont="1"/>
    <xf numFmtId="164" fontId="5" fillId="0" borderId="0" xfId="3" applyNumberFormat="1" applyFont="1" applyAlignment="1">
      <alignment horizontal="center"/>
    </xf>
    <xf numFmtId="168" fontId="20" fillId="0" borderId="0" xfId="0" applyNumberFormat="1" applyFont="1" applyAlignment="1">
      <alignment horizontal="right"/>
    </xf>
    <xf numFmtId="164" fontId="10" fillId="0" borderId="0" xfId="3" applyNumberFormat="1" applyFont="1"/>
    <xf numFmtId="0" fontId="14" fillId="0" borderId="0" xfId="0" applyFont="1" applyAlignment="1">
      <alignment vertical="top"/>
    </xf>
    <xf numFmtId="0" fontId="4" fillId="2" borderId="1" xfId="3" applyFont="1" applyFill="1" applyBorder="1" applyAlignment="1">
      <alignment vertical="center"/>
    </xf>
    <xf numFmtId="0" fontId="4" fillId="0" borderId="23" xfId="3" applyFont="1" applyBorder="1" applyAlignment="1">
      <alignment horizontal="center"/>
    </xf>
    <xf numFmtId="0" fontId="4" fillId="2" borderId="9" xfId="3" applyFont="1" applyFill="1" applyBorder="1" applyAlignment="1">
      <alignment horizontal="left" vertical="center"/>
    </xf>
    <xf numFmtId="168" fontId="4" fillId="0" borderId="0" xfId="3" applyNumberFormat="1" applyFont="1"/>
    <xf numFmtId="168" fontId="4" fillId="0" borderId="50" xfId="3" applyNumberFormat="1" applyFont="1" applyBorder="1"/>
    <xf numFmtId="168" fontId="4" fillId="0" borderId="19" xfId="3" applyNumberFormat="1" applyFont="1" applyBorder="1"/>
    <xf numFmtId="10" fontId="4" fillId="0" borderId="50" xfId="3" applyNumberFormat="1" applyFont="1" applyBorder="1"/>
    <xf numFmtId="10" fontId="4" fillId="0" borderId="19" xfId="3" applyNumberFormat="1" applyFont="1" applyBorder="1"/>
    <xf numFmtId="168" fontId="4" fillId="0" borderId="53" xfId="3" applyNumberFormat="1" applyFont="1" applyBorder="1"/>
    <xf numFmtId="168" fontId="4" fillId="0" borderId="24" xfId="3" applyNumberFormat="1" applyFont="1" applyBorder="1"/>
    <xf numFmtId="0" fontId="4" fillId="2" borderId="50" xfId="3" applyFont="1" applyFill="1" applyBorder="1" applyAlignment="1">
      <alignment horizontal="center"/>
    </xf>
    <xf numFmtId="0" fontId="4" fillId="2" borderId="19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left" vertical="center"/>
    </xf>
    <xf numFmtId="0" fontId="3" fillId="0" borderId="0" xfId="3" applyAlignment="1">
      <alignment horizontal="left"/>
    </xf>
    <xf numFmtId="0" fontId="26" fillId="6" borderId="0" xfId="0" applyFont="1" applyFill="1"/>
    <xf numFmtId="0" fontId="25" fillId="0" borderId="28" xfId="0" applyFont="1" applyBorder="1"/>
    <xf numFmtId="0" fontId="25" fillId="0" borderId="0" xfId="0" applyFont="1"/>
    <xf numFmtId="2" fontId="3" fillId="0" borderId="2" xfId="0" applyNumberFormat="1" applyFont="1" applyBorder="1" applyAlignment="1">
      <alignment horizontal="right" indent="1"/>
    </xf>
    <xf numFmtId="2" fontId="13" fillId="0" borderId="0" xfId="0" applyNumberFormat="1" applyFont="1" applyAlignment="1">
      <alignment horizontal="right" indent="2"/>
    </xf>
    <xf numFmtId="2" fontId="19" fillId="0" borderId="41" xfId="0" applyNumberFormat="1" applyFont="1" applyBorder="1"/>
    <xf numFmtId="0" fontId="3" fillId="0" borderId="41" xfId="0" applyFont="1" applyBorder="1"/>
    <xf numFmtId="2" fontId="19" fillId="0" borderId="0" xfId="0" applyNumberFormat="1" applyFont="1"/>
    <xf numFmtId="168" fontId="4" fillId="7" borderId="9" xfId="3" applyNumberFormat="1" applyFont="1" applyFill="1" applyBorder="1"/>
    <xf numFmtId="168" fontId="4" fillId="7" borderId="50" xfId="3" applyNumberFormat="1" applyFont="1" applyFill="1" applyBorder="1"/>
    <xf numFmtId="168" fontId="4" fillId="7" borderId="19" xfId="3" applyNumberFormat="1" applyFont="1" applyFill="1" applyBorder="1"/>
    <xf numFmtId="0" fontId="27" fillId="0" borderId="2" xfId="3" applyFont="1" applyBorder="1"/>
    <xf numFmtId="168" fontId="27" fillId="0" borderId="0" xfId="3" applyNumberFormat="1" applyFont="1"/>
    <xf numFmtId="0" fontId="27" fillId="0" borderId="0" xfId="1" applyFont="1"/>
    <xf numFmtId="0" fontId="27" fillId="0" borderId="2" xfId="1" applyFont="1" applyBorder="1"/>
    <xf numFmtId="0" fontId="27" fillId="0" borderId="0" xfId="3" applyFont="1" applyProtection="1">
      <protection locked="0"/>
    </xf>
    <xf numFmtId="170" fontId="5" fillId="2" borderId="6" xfId="3" applyNumberFormat="1" applyFont="1" applyFill="1" applyBorder="1"/>
    <xf numFmtId="170" fontId="5" fillId="2" borderId="9" xfId="3" applyNumberFormat="1" applyFont="1" applyFill="1" applyBorder="1"/>
    <xf numFmtId="170" fontId="4" fillId="0" borderId="43" xfId="3" applyNumberFormat="1" applyFont="1" applyBorder="1"/>
    <xf numFmtId="170" fontId="4" fillId="0" borderId="44" xfId="3" applyNumberFormat="1" applyFont="1" applyBorder="1"/>
    <xf numFmtId="170" fontId="4" fillId="0" borderId="6" xfId="3" applyNumberFormat="1" applyFont="1" applyBorder="1"/>
    <xf numFmtId="170" fontId="4" fillId="7" borderId="6" xfId="3" applyNumberFormat="1" applyFont="1" applyFill="1" applyBorder="1"/>
    <xf numFmtId="170" fontId="4" fillId="7" borderId="9" xfId="3" applyNumberFormat="1" applyFont="1" applyFill="1" applyBorder="1"/>
    <xf numFmtId="170" fontId="4" fillId="2" borderId="6" xfId="3" applyNumberFormat="1" applyFont="1" applyFill="1" applyBorder="1"/>
    <xf numFmtId="170" fontId="4" fillId="2" borderId="9" xfId="3" applyNumberFormat="1" applyFont="1" applyFill="1" applyBorder="1"/>
    <xf numFmtId="170" fontId="5" fillId="0" borderId="18" xfId="3" applyNumberFormat="1" applyFont="1" applyBorder="1"/>
    <xf numFmtId="170" fontId="5" fillId="0" borderId="47" xfId="3" applyNumberFormat="1" applyFont="1" applyBorder="1"/>
    <xf numFmtId="170" fontId="5" fillId="0" borderId="22" xfId="3" applyNumberFormat="1" applyFont="1" applyBorder="1"/>
    <xf numFmtId="170" fontId="5" fillId="0" borderId="19" xfId="3" applyNumberFormat="1" applyFont="1" applyBorder="1"/>
    <xf numFmtId="170" fontId="4" fillId="0" borderId="22" xfId="3" applyNumberFormat="1" applyFont="1" applyBorder="1"/>
    <xf numFmtId="170" fontId="4" fillId="0" borderId="19" xfId="3" applyNumberFormat="1" applyFont="1" applyBorder="1"/>
    <xf numFmtId="170" fontId="5" fillId="0" borderId="6" xfId="3" applyNumberFormat="1" applyFont="1" applyBorder="1"/>
    <xf numFmtId="170" fontId="4" fillId="0" borderId="23" xfId="3" applyNumberFormat="1" applyFont="1" applyBorder="1"/>
    <xf numFmtId="170" fontId="4" fillId="0" borderId="48" xfId="3" applyNumberFormat="1" applyFont="1" applyBorder="1"/>
    <xf numFmtId="170" fontId="4" fillId="0" borderId="24" xfId="3" applyNumberFormat="1" applyFont="1" applyBorder="1"/>
    <xf numFmtId="170" fontId="5" fillId="0" borderId="21" xfId="3" applyNumberFormat="1" applyFont="1" applyBorder="1"/>
    <xf numFmtId="170" fontId="4" fillId="0" borderId="50" xfId="3" applyNumberFormat="1" applyFont="1" applyBorder="1"/>
    <xf numFmtId="170" fontId="4" fillId="0" borderId="19" xfId="0" applyNumberFormat="1" applyFont="1" applyBorder="1"/>
    <xf numFmtId="2" fontId="5" fillId="2" borderId="6" xfId="3" applyNumberFormat="1" applyFont="1" applyFill="1" applyBorder="1"/>
    <xf numFmtId="2" fontId="5" fillId="2" borderId="9" xfId="3" applyNumberFormat="1" applyFont="1" applyFill="1" applyBorder="1"/>
    <xf numFmtId="2" fontId="4" fillId="0" borderId="50" xfId="3" applyNumberFormat="1" applyFont="1" applyBorder="1"/>
    <xf numFmtId="2" fontId="4" fillId="0" borderId="19" xfId="0" applyNumberFormat="1" applyFont="1" applyBorder="1"/>
    <xf numFmtId="2" fontId="4" fillId="0" borderId="19" xfId="3" applyNumberFormat="1" applyFont="1" applyBorder="1"/>
    <xf numFmtId="2" fontId="4" fillId="2" borderId="6" xfId="3" applyNumberFormat="1" applyFont="1" applyFill="1" applyBorder="1"/>
    <xf numFmtId="2" fontId="4" fillId="2" borderId="9" xfId="3" applyNumberFormat="1" applyFont="1" applyFill="1" applyBorder="1"/>
    <xf numFmtId="0" fontId="4" fillId="0" borderId="9" xfId="3" applyFont="1" applyBorder="1"/>
    <xf numFmtId="2" fontId="5" fillId="0" borderId="50" xfId="3" applyNumberFormat="1" applyFont="1" applyBorder="1"/>
    <xf numFmtId="2" fontId="5" fillId="0" borderId="19" xfId="0" applyNumberFormat="1" applyFont="1" applyBorder="1"/>
    <xf numFmtId="2" fontId="5" fillId="0" borderId="53" xfId="3" applyNumberFormat="1" applyFont="1" applyBorder="1"/>
    <xf numFmtId="2" fontId="5" fillId="0" borderId="24" xfId="0" applyNumberFormat="1" applyFont="1" applyBorder="1"/>
    <xf numFmtId="2" fontId="5" fillId="0" borderId="22" xfId="3" applyNumberFormat="1" applyFont="1" applyBorder="1"/>
    <xf numFmtId="2" fontId="5" fillId="0" borderId="19" xfId="3" applyNumberFormat="1" applyFont="1" applyBorder="1"/>
    <xf numFmtId="2" fontId="5" fillId="0" borderId="23" xfId="3" applyNumberFormat="1" applyFont="1" applyBorder="1"/>
    <xf numFmtId="2" fontId="5" fillId="0" borderId="24" xfId="3" applyNumberFormat="1" applyFont="1" applyBorder="1"/>
    <xf numFmtId="0" fontId="28" fillId="0" borderId="0" xfId="0" applyFont="1"/>
    <xf numFmtId="0" fontId="20" fillId="0" borderId="0" xfId="0" applyFont="1"/>
    <xf numFmtId="170" fontId="4" fillId="0" borderId="0" xfId="3" applyNumberFormat="1" applyFont="1"/>
    <xf numFmtId="0" fontId="13" fillId="0" borderId="9" xfId="0" applyFont="1" applyBorder="1" applyAlignment="1">
      <alignment horizontal="center"/>
    </xf>
    <xf numFmtId="170" fontId="4" fillId="7" borderId="19" xfId="3" applyNumberFormat="1" applyFont="1" applyFill="1" applyBorder="1"/>
    <xf numFmtId="170" fontId="4" fillId="7" borderId="22" xfId="3" applyNumberFormat="1" applyFont="1" applyFill="1" applyBorder="1"/>
    <xf numFmtId="0" fontId="4" fillId="0" borderId="52" xfId="3" applyFont="1" applyBorder="1" applyAlignment="1">
      <alignment horizontal="center"/>
    </xf>
    <xf numFmtId="0" fontId="4" fillId="0" borderId="48" xfId="3" applyFont="1" applyBorder="1" applyAlignment="1">
      <alignment horizontal="center"/>
    </xf>
    <xf numFmtId="168" fontId="20" fillId="0" borderId="3" xfId="0" applyNumberFormat="1" applyFont="1" applyBorder="1" applyAlignment="1">
      <alignment horizontal="right"/>
    </xf>
    <xf numFmtId="0" fontId="5" fillId="0" borderId="3" xfId="3" applyFont="1" applyBorder="1" applyAlignment="1">
      <alignment horizontal="center"/>
    </xf>
    <xf numFmtId="0" fontId="5" fillId="0" borderId="3" xfId="3" applyFont="1" applyBorder="1"/>
    <xf numFmtId="49" fontId="5" fillId="0" borderId="3" xfId="3" applyNumberFormat="1" applyFont="1" applyBorder="1"/>
    <xf numFmtId="0" fontId="5" fillId="0" borderId="26" xfId="3" applyFont="1" applyBorder="1" applyAlignment="1">
      <alignment horizontal="center" vertical="center" wrapText="1"/>
    </xf>
    <xf numFmtId="0" fontId="5" fillId="0" borderId="64" xfId="3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168" fontId="4" fillId="0" borderId="50" xfId="3" applyNumberFormat="1" applyFont="1" applyBorder="1" applyAlignment="1">
      <alignment horizontal="right"/>
    </xf>
    <xf numFmtId="168" fontId="4" fillId="0" borderId="19" xfId="3" applyNumberFormat="1" applyFont="1" applyBorder="1" applyAlignment="1">
      <alignment horizontal="right"/>
    </xf>
    <xf numFmtId="164" fontId="10" fillId="3" borderId="6" xfId="3" applyNumberFormat="1" applyFont="1" applyFill="1" applyBorder="1"/>
    <xf numFmtId="168" fontId="4" fillId="0" borderId="9" xfId="3" applyNumberFormat="1" applyFont="1" applyBorder="1"/>
    <xf numFmtId="0" fontId="4" fillId="2" borderId="16" xfId="3" applyFont="1" applyFill="1" applyBorder="1" applyAlignment="1">
      <alignment horizontal="left" vertical="center"/>
    </xf>
    <xf numFmtId="0" fontId="4" fillId="2" borderId="17" xfId="3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/>
    </xf>
    <xf numFmtId="0" fontId="5" fillId="2" borderId="14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15" xfId="3" applyFont="1" applyFill="1" applyBorder="1" applyAlignment="1">
      <alignment horizontal="left" vertical="center"/>
    </xf>
    <xf numFmtId="164" fontId="10" fillId="3" borderId="5" xfId="3" applyNumberFormat="1" applyFont="1" applyFill="1" applyBorder="1"/>
    <xf numFmtId="0" fontId="4" fillId="0" borderId="6" xfId="3" applyFont="1" applyBorder="1" applyAlignment="1" applyProtection="1">
      <alignment horizontal="left"/>
      <protection locked="0"/>
    </xf>
    <xf numFmtId="0" fontId="4" fillId="0" borderId="5" xfId="3" applyFont="1" applyBorder="1" applyAlignment="1" applyProtection="1">
      <alignment horizontal="left"/>
      <protection locked="0"/>
    </xf>
    <xf numFmtId="2" fontId="4" fillId="0" borderId="50" xfId="3" applyNumberFormat="1" applyFont="1" applyBorder="1" applyAlignment="1">
      <alignment horizontal="right"/>
    </xf>
    <xf numFmtId="0" fontId="4" fillId="2" borderId="16" xfId="3" applyFont="1" applyFill="1" applyBorder="1" applyAlignment="1">
      <alignment vertical="center" wrapText="1"/>
    </xf>
    <xf numFmtId="168" fontId="4" fillId="0" borderId="51" xfId="3" applyNumberFormat="1" applyFont="1" applyBorder="1"/>
    <xf numFmtId="168" fontId="4" fillId="0" borderId="52" xfId="3" applyNumberFormat="1" applyFont="1" applyBorder="1"/>
    <xf numFmtId="168" fontId="4" fillId="7" borderId="50" xfId="3" applyNumberFormat="1" applyFont="1" applyFill="1" applyBorder="1" applyAlignment="1">
      <alignment horizontal="right"/>
    </xf>
    <xf numFmtId="168" fontId="4" fillId="7" borderId="19" xfId="3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34" fillId="13" borderId="10" xfId="5" applyFont="1" applyFill="1" applyBorder="1"/>
    <xf numFmtId="0" fontId="2" fillId="2" borderId="7" xfId="5" applyFill="1" applyBorder="1"/>
    <xf numFmtId="0" fontId="2" fillId="2" borderId="0" xfId="5" applyFill="1"/>
    <xf numFmtId="0" fontId="2" fillId="2" borderId="10" xfId="5" applyFill="1" applyBorder="1"/>
    <xf numFmtId="0" fontId="31" fillId="2" borderId="7" xfId="5" applyFont="1" applyFill="1" applyBorder="1" applyAlignment="1">
      <alignment horizontal="center" vertical="center" wrapText="1"/>
    </xf>
    <xf numFmtId="0" fontId="2" fillId="2" borderId="0" xfId="5" applyFill="1" applyAlignment="1">
      <alignment horizontal="center" vertical="center" wrapText="1"/>
    </xf>
    <xf numFmtId="0" fontId="2" fillId="2" borderId="10" xfId="5" applyFill="1" applyBorder="1" applyAlignment="1">
      <alignment horizontal="center" vertical="center" wrapText="1"/>
    </xf>
    <xf numFmtId="0" fontId="2" fillId="2" borderId="9" xfId="5" applyFill="1" applyBorder="1" applyAlignment="1">
      <alignment horizontal="center"/>
    </xf>
    <xf numFmtId="0" fontId="2" fillId="2" borderId="3" xfId="5" applyFill="1" applyBorder="1"/>
    <xf numFmtId="0" fontId="2" fillId="2" borderId="4" xfId="5" applyFill="1" applyBorder="1"/>
    <xf numFmtId="14" fontId="2" fillId="2" borderId="9" xfId="5" applyNumberFormat="1" applyFill="1" applyBorder="1" applyAlignment="1">
      <alignment horizontal="center"/>
    </xf>
    <xf numFmtId="0" fontId="2" fillId="2" borderId="9" xfId="5" applyFill="1" applyBorder="1" applyAlignment="1">
      <alignment horizontal="left"/>
    </xf>
    <xf numFmtId="0" fontId="2" fillId="0" borderId="0" xfId="5"/>
    <xf numFmtId="0" fontId="34" fillId="13" borderId="7" xfId="5" applyFont="1" applyFill="1" applyBorder="1"/>
    <xf numFmtId="0" fontId="34" fillId="13" borderId="0" xfId="5" applyFont="1" applyFill="1"/>
    <xf numFmtId="0" fontId="35" fillId="2" borderId="0" xfId="5" applyFont="1" applyFill="1"/>
    <xf numFmtId="0" fontId="19" fillId="0" borderId="0" xfId="5" applyFont="1"/>
    <xf numFmtId="41" fontId="2" fillId="0" borderId="0" xfId="5" applyNumberFormat="1" applyProtection="1">
      <protection locked="0"/>
    </xf>
    <xf numFmtId="0" fontId="2" fillId="2" borderId="16" xfId="5" applyFill="1" applyBorder="1" applyAlignment="1">
      <alignment horizontal="left"/>
    </xf>
    <xf numFmtId="0" fontId="2" fillId="0" borderId="2" xfId="5" applyBorder="1"/>
    <xf numFmtId="0" fontId="31" fillId="0" borderId="7" xfId="5" applyFont="1" applyBorder="1" applyAlignment="1">
      <alignment vertical="top" wrapText="1"/>
    </xf>
    <xf numFmtId="0" fontId="33" fillId="0" borderId="7" xfId="5" applyFont="1" applyBorder="1"/>
    <xf numFmtId="0" fontId="33" fillId="0" borderId="0" xfId="5" applyFont="1"/>
    <xf numFmtId="0" fontId="31" fillId="0" borderId="0" xfId="5" applyFont="1" applyAlignment="1">
      <alignment vertical="top" wrapText="1"/>
    </xf>
    <xf numFmtId="0" fontId="35" fillId="2" borderId="10" xfId="5" applyFont="1" applyFill="1" applyBorder="1"/>
    <xf numFmtId="0" fontId="2" fillId="0" borderId="0" xfId="0" applyFont="1"/>
    <xf numFmtId="0" fontId="20" fillId="0" borderId="16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4" fillId="2" borderId="19" xfId="3" applyFont="1" applyFill="1" applyBorder="1" applyAlignment="1">
      <alignment horizontal="left" vertical="center"/>
    </xf>
    <xf numFmtId="0" fontId="4" fillId="0" borderId="50" xfId="3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5" xfId="3" applyFont="1" applyBorder="1" applyProtection="1">
      <protection locked="0"/>
    </xf>
    <xf numFmtId="0" fontId="4" fillId="0" borderId="2" xfId="3" applyFont="1" applyBorder="1" applyProtection="1">
      <protection locked="0"/>
    </xf>
    <xf numFmtId="0" fontId="4" fillId="0" borderId="14" xfId="3" applyFont="1" applyBorder="1" applyAlignment="1" applyProtection="1">
      <alignment horizontal="center"/>
      <protection locked="0"/>
    </xf>
    <xf numFmtId="10" fontId="10" fillId="4" borderId="13" xfId="3" applyNumberFormat="1" applyFont="1" applyFill="1" applyBorder="1" applyProtection="1">
      <protection locked="0"/>
    </xf>
    <xf numFmtId="0" fontId="4" fillId="0" borderId="6" xfId="3" applyFont="1" applyBorder="1" applyAlignment="1" applyProtection="1">
      <alignment horizontal="center"/>
      <protection locked="0"/>
    </xf>
    <xf numFmtId="10" fontId="10" fillId="4" borderId="6" xfId="3" applyNumberFormat="1" applyFont="1" applyFill="1" applyBorder="1" applyProtection="1">
      <protection locked="0"/>
    </xf>
    <xf numFmtId="0" fontId="4" fillId="0" borderId="13" xfId="3" applyFont="1" applyBorder="1" applyAlignment="1" applyProtection="1">
      <alignment horizontal="center"/>
      <protection locked="0"/>
    </xf>
    <xf numFmtId="0" fontId="29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5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left" vertical="center"/>
    </xf>
    <xf numFmtId="0" fontId="28" fillId="0" borderId="5" xfId="0" applyFont="1" applyBorder="1"/>
    <xf numFmtId="0" fontId="28" fillId="0" borderId="8" xfId="0" applyFont="1" applyBorder="1"/>
    <xf numFmtId="0" fontId="29" fillId="0" borderId="5" xfId="0" applyFont="1" applyBorder="1" applyAlignment="1">
      <alignment horizontal="center" vertical="center" wrapText="1"/>
    </xf>
    <xf numFmtId="0" fontId="28" fillId="0" borderId="13" xfId="0" applyFont="1" applyBorder="1"/>
    <xf numFmtId="0" fontId="29" fillId="0" borderId="5" xfId="0" applyFont="1" applyBorder="1" applyAlignment="1">
      <alignment horizontal="center" vertical="center"/>
    </xf>
    <xf numFmtId="0" fontId="28" fillId="0" borderId="63" xfId="0" applyFont="1" applyBorder="1"/>
    <xf numFmtId="0" fontId="28" fillId="0" borderId="62" xfId="0" applyFont="1" applyBorder="1"/>
    <xf numFmtId="0" fontId="28" fillId="0" borderId="64" xfId="0" applyFont="1" applyBorder="1"/>
    <xf numFmtId="0" fontId="2" fillId="0" borderId="2" xfId="1" applyBorder="1"/>
    <xf numFmtId="0" fontId="27" fillId="0" borderId="0" xfId="0" applyFont="1"/>
    <xf numFmtId="0" fontId="2" fillId="0" borderId="0" xfId="3" applyFont="1" applyProtection="1">
      <protection locked="0"/>
    </xf>
    <xf numFmtId="168" fontId="4" fillId="0" borderId="59" xfId="3" applyNumberFormat="1" applyFont="1" applyBorder="1"/>
    <xf numFmtId="168" fontId="4" fillId="7" borderId="22" xfId="3" applyNumberFormat="1" applyFont="1" applyFill="1" applyBorder="1"/>
    <xf numFmtId="0" fontId="57" fillId="0" borderId="80" xfId="0" applyFont="1" applyBorder="1" applyAlignment="1">
      <alignment horizontal="right" vertical="center" wrapText="1"/>
    </xf>
    <xf numFmtId="170" fontId="4" fillId="0" borderId="53" xfId="3" applyNumberFormat="1" applyFont="1" applyBorder="1"/>
    <xf numFmtId="2" fontId="4" fillId="0" borderId="19" xfId="3" applyNumberFormat="1" applyFont="1" applyBorder="1" applyAlignment="1">
      <alignment horizontal="right"/>
    </xf>
    <xf numFmtId="0" fontId="4" fillId="2" borderId="53" xfId="3" applyFont="1" applyFill="1" applyBorder="1" applyAlignment="1">
      <alignment horizontal="center" vertical="center"/>
    </xf>
    <xf numFmtId="0" fontId="4" fillId="2" borderId="24" xfId="3" applyFont="1" applyFill="1" applyBorder="1" applyAlignment="1">
      <alignment horizontal="center" vertical="center"/>
    </xf>
    <xf numFmtId="2" fontId="4" fillId="0" borderId="25" xfId="3" applyNumberFormat="1" applyFont="1" applyBorder="1"/>
    <xf numFmtId="2" fontId="4" fillId="0" borderId="26" xfId="0" applyNumberFormat="1" applyFont="1" applyBorder="1"/>
    <xf numFmtId="2" fontId="4" fillId="0" borderId="60" xfId="3" applyNumberFormat="1" applyFont="1" applyBorder="1"/>
    <xf numFmtId="2" fontId="4" fillId="0" borderId="26" xfId="3" applyNumberFormat="1" applyFont="1" applyBorder="1"/>
    <xf numFmtId="170" fontId="20" fillId="7" borderId="50" xfId="3" applyNumberFormat="1" applyFont="1" applyFill="1" applyBorder="1"/>
    <xf numFmtId="170" fontId="20" fillId="7" borderId="19" xfId="0" applyNumberFormat="1" applyFont="1" applyFill="1" applyBorder="1"/>
    <xf numFmtId="170" fontId="20" fillId="7" borderId="22" xfId="3" applyNumberFormat="1" applyFont="1" applyFill="1" applyBorder="1"/>
    <xf numFmtId="170" fontId="20" fillId="7" borderId="19" xfId="3" applyNumberFormat="1" applyFont="1" applyFill="1" applyBorder="1"/>
    <xf numFmtId="0" fontId="4" fillId="0" borderId="64" xfId="3" applyFont="1" applyBorder="1" applyAlignment="1" applyProtection="1">
      <alignment horizontal="center" vertical="center" wrapText="1"/>
      <protection locked="0"/>
    </xf>
    <xf numFmtId="0" fontId="4" fillId="0" borderId="19" xfId="3" applyFont="1" applyBorder="1" applyAlignment="1" applyProtection="1">
      <alignment horizontal="center"/>
      <protection locked="0"/>
    </xf>
    <xf numFmtId="10" fontId="10" fillId="4" borderId="19" xfId="3" applyNumberFormat="1" applyFont="1" applyFill="1" applyBorder="1" applyProtection="1">
      <protection locked="0"/>
    </xf>
    <xf numFmtId="49" fontId="4" fillId="2" borderId="9" xfId="3" applyNumberFormat="1" applyFont="1" applyFill="1" applyBorder="1"/>
    <xf numFmtId="49" fontId="4" fillId="2" borderId="9" xfId="3" applyNumberFormat="1" applyFont="1" applyFill="1" applyBorder="1" applyAlignment="1">
      <alignment horizontal="center"/>
    </xf>
    <xf numFmtId="164" fontId="58" fillId="0" borderId="0" xfId="3" applyNumberFormat="1" applyFont="1" applyAlignment="1">
      <alignment horizontal="right"/>
    </xf>
    <xf numFmtId="0" fontId="26" fillId="0" borderId="0" xfId="0" applyFont="1"/>
    <xf numFmtId="0" fontId="0" fillId="0" borderId="39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15" fillId="0" borderId="0" xfId="3" applyFont="1" applyAlignment="1">
      <alignment horizontal="left"/>
    </xf>
    <xf numFmtId="0" fontId="15" fillId="0" borderId="2" xfId="3" applyFont="1" applyBorder="1"/>
    <xf numFmtId="2" fontId="15" fillId="0" borderId="2" xfId="0" applyNumberFormat="1" applyFont="1" applyBorder="1" applyAlignment="1">
      <alignment horizontal="right" indent="1"/>
    </xf>
    <xf numFmtId="2" fontId="15" fillId="0" borderId="0" xfId="0" applyNumberFormat="1" applyFont="1" applyAlignment="1">
      <alignment horizontal="right" indent="2"/>
    </xf>
    <xf numFmtId="0" fontId="2" fillId="7" borderId="6" xfId="0" applyFont="1" applyFill="1" applyBorder="1"/>
    <xf numFmtId="0" fontId="2" fillId="7" borderId="5" xfId="0" applyFont="1" applyFill="1" applyBorder="1"/>
    <xf numFmtId="0" fontId="2" fillId="7" borderId="13" xfId="0" applyFont="1" applyFill="1" applyBorder="1"/>
    <xf numFmtId="0" fontId="3" fillId="0" borderId="6" xfId="0" applyFont="1" applyBorder="1"/>
    <xf numFmtId="0" fontId="3" fillId="0" borderId="5" xfId="0" applyFont="1" applyBorder="1"/>
    <xf numFmtId="0" fontId="3" fillId="0" borderId="13" xfId="0" applyFont="1" applyBorder="1"/>
    <xf numFmtId="0" fontId="3" fillId="11" borderId="6" xfId="3" applyFill="1" applyBorder="1"/>
    <xf numFmtId="0" fontId="3" fillId="11" borderId="5" xfId="3" applyFill="1" applyBorder="1"/>
    <xf numFmtId="0" fontId="3" fillId="11" borderId="13" xfId="3" applyFill="1" applyBorder="1"/>
    <xf numFmtId="0" fontId="25" fillId="0" borderId="39" xfId="0" applyFont="1" applyBorder="1" applyAlignment="1">
      <alignment wrapText="1"/>
    </xf>
    <xf numFmtId="0" fontId="25" fillId="0" borderId="42" xfId="0" applyFont="1" applyBorder="1" applyAlignment="1">
      <alignment wrapText="1"/>
    </xf>
    <xf numFmtId="0" fontId="13" fillId="0" borderId="5" xfId="0" applyFont="1" applyBorder="1" applyAlignment="1">
      <alignment vertical="center"/>
    </xf>
    <xf numFmtId="0" fontId="13" fillId="0" borderId="6" xfId="0" applyFont="1" applyBorder="1"/>
    <xf numFmtId="0" fontId="13" fillId="0" borderId="5" xfId="0" applyFont="1" applyBorder="1"/>
    <xf numFmtId="0" fontId="0" fillId="0" borderId="5" xfId="0" applyBorder="1"/>
    <xf numFmtId="0" fontId="0" fillId="0" borderId="39" xfId="0" applyBorder="1"/>
    <xf numFmtId="0" fontId="0" fillId="0" borderId="42" xfId="0" applyBorder="1"/>
    <xf numFmtId="0" fontId="13" fillId="0" borderId="0" xfId="0" applyFont="1" applyAlignment="1">
      <alignment horizontal="center"/>
    </xf>
    <xf numFmtId="167" fontId="3" fillId="0" borderId="0" xfId="0" applyNumberFormat="1" applyFont="1"/>
    <xf numFmtId="1" fontId="4" fillId="5" borderId="6" xfId="3" applyNumberFormat="1" applyFont="1" applyFill="1" applyBorder="1" applyAlignment="1">
      <alignment horizontal="center"/>
    </xf>
    <xf numFmtId="170" fontId="4" fillId="5" borderId="6" xfId="3" applyNumberFormat="1" applyFont="1" applyFill="1" applyBorder="1" applyAlignment="1">
      <alignment horizontal="center"/>
    </xf>
    <xf numFmtId="0" fontId="4" fillId="2" borderId="59" xfId="3" applyFont="1" applyFill="1" applyBorder="1" applyAlignment="1">
      <alignment horizontal="left" vertical="center" indent="1"/>
    </xf>
    <xf numFmtId="0" fontId="4" fillId="2" borderId="2" xfId="3" applyFont="1" applyFill="1" applyBorder="1" applyAlignment="1">
      <alignment horizontal="left" vertical="center" indent="1"/>
    </xf>
    <xf numFmtId="0" fontId="4" fillId="2" borderId="56" xfId="3" applyFont="1" applyFill="1" applyBorder="1" applyAlignment="1">
      <alignment horizontal="left" vertical="center" indent="1"/>
    </xf>
    <xf numFmtId="0" fontId="4" fillId="2" borderId="60" xfId="3" applyFont="1" applyFill="1" applyBorder="1" applyAlignment="1">
      <alignment horizontal="left" vertical="center" indent="1"/>
    </xf>
    <xf numFmtId="0" fontId="4" fillId="2" borderId="4" xfId="3" applyFont="1" applyFill="1" applyBorder="1" applyAlignment="1">
      <alignment horizontal="left" vertical="center" indent="1"/>
    </xf>
    <xf numFmtId="0" fontId="4" fillId="2" borderId="57" xfId="3" applyFont="1" applyFill="1" applyBorder="1" applyAlignment="1">
      <alignment horizontal="left" vertical="center" indent="1"/>
    </xf>
    <xf numFmtId="0" fontId="4" fillId="2" borderId="5" xfId="3" applyFont="1" applyFill="1" applyBorder="1" applyAlignment="1">
      <alignment horizontal="left" indent="1"/>
    </xf>
    <xf numFmtId="0" fontId="14" fillId="0" borderId="31" xfId="0" applyFont="1" applyBorder="1"/>
    <xf numFmtId="0" fontId="19" fillId="0" borderId="31" xfId="0" applyFont="1" applyBorder="1"/>
    <xf numFmtId="168" fontId="20" fillId="0" borderId="85" xfId="0" applyNumberFormat="1" applyFont="1" applyBorder="1" applyAlignment="1">
      <alignment horizontal="right"/>
    </xf>
    <xf numFmtId="0" fontId="4" fillId="2" borderId="9" xfId="3" applyFont="1" applyFill="1" applyBorder="1"/>
    <xf numFmtId="170" fontId="5" fillId="2" borderId="7" xfId="3" applyNumberFormat="1" applyFont="1" applyFill="1" applyBorder="1"/>
    <xf numFmtId="170" fontId="5" fillId="2" borderId="17" xfId="3" applyNumberFormat="1" applyFont="1" applyFill="1" applyBorder="1"/>
    <xf numFmtId="49" fontId="4" fillId="2" borderId="17" xfId="3" applyNumberFormat="1" applyFont="1" applyFill="1" applyBorder="1" applyAlignment="1">
      <alignment horizontal="center"/>
    </xf>
    <xf numFmtId="170" fontId="5" fillId="2" borderId="3" xfId="3" applyNumberFormat="1" applyFont="1" applyFill="1" applyBorder="1"/>
    <xf numFmtId="170" fontId="5" fillId="2" borderId="8" xfId="3" applyNumberFormat="1" applyFont="1" applyFill="1" applyBorder="1"/>
    <xf numFmtId="49" fontId="4" fillId="2" borderId="8" xfId="3" applyNumberFormat="1" applyFont="1" applyFill="1" applyBorder="1" applyAlignment="1">
      <alignment horizontal="center"/>
    </xf>
    <xf numFmtId="170" fontId="4" fillId="7" borderId="1" xfId="3" applyNumberFormat="1" applyFont="1" applyFill="1" applyBorder="1"/>
    <xf numFmtId="0" fontId="18" fillId="0" borderId="0" xfId="0" applyFont="1"/>
    <xf numFmtId="0" fontId="4" fillId="0" borderId="0" xfId="3" applyFont="1" applyAlignment="1" applyProtection="1">
      <alignment horizontal="right"/>
      <protection locked="0"/>
    </xf>
    <xf numFmtId="170" fontId="4" fillId="0" borderId="0" xfId="3" applyNumberFormat="1" applyFont="1" applyProtection="1">
      <protection locked="0"/>
    </xf>
    <xf numFmtId="0" fontId="13" fillId="0" borderId="36" xfId="0" applyFont="1" applyBorder="1"/>
    <xf numFmtId="164" fontId="10" fillId="4" borderId="6" xfId="3" applyNumberFormat="1" applyFont="1" applyFill="1" applyBorder="1"/>
    <xf numFmtId="9" fontId="4" fillId="0" borderId="9" xfId="3" applyNumberFormat="1" applyFont="1" applyBorder="1" applyProtection="1">
      <protection locked="0"/>
    </xf>
    <xf numFmtId="9" fontId="4" fillId="0" borderId="9" xfId="0" applyNumberFormat="1" applyFont="1" applyBorder="1"/>
    <xf numFmtId="0" fontId="31" fillId="0" borderId="0" xfId="3" applyFont="1" applyAlignment="1" applyProtection="1">
      <alignment horizontal="left"/>
      <protection locked="0"/>
    </xf>
    <xf numFmtId="0" fontId="31" fillId="0" borderId="0" xfId="3" applyFont="1"/>
    <xf numFmtId="0" fontId="31" fillId="0" borderId="0" xfId="3" applyFont="1" applyProtection="1">
      <protection locked="0"/>
    </xf>
    <xf numFmtId="0" fontId="59" fillId="0" borderId="0" xfId="3" applyFont="1" applyProtection="1">
      <protection locked="0"/>
    </xf>
    <xf numFmtId="0" fontId="28" fillId="0" borderId="9" xfId="0" applyFont="1" applyBorder="1"/>
    <xf numFmtId="0" fontId="57" fillId="0" borderId="0" xfId="0" applyFont="1" applyAlignment="1">
      <alignment horizontal="center" vertical="center" wrapText="1"/>
    </xf>
    <xf numFmtId="0" fontId="57" fillId="0" borderId="0" xfId="0" applyFont="1"/>
    <xf numFmtId="0" fontId="64" fillId="0" borderId="0" xfId="0" applyFont="1"/>
    <xf numFmtId="170" fontId="57" fillId="0" borderId="0" xfId="3" applyNumberFormat="1" applyFont="1"/>
    <xf numFmtId="10" fontId="4" fillId="0" borderId="9" xfId="3" applyNumberFormat="1" applyFont="1" applyBorder="1"/>
    <xf numFmtId="0" fontId="56" fillId="0" borderId="9" xfId="0" applyFont="1" applyBorder="1"/>
    <xf numFmtId="170" fontId="4" fillId="0" borderId="9" xfId="3" applyNumberFormat="1" applyFont="1" applyBorder="1"/>
    <xf numFmtId="0" fontId="66" fillId="0" borderId="0" xfId="0" applyFont="1"/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9" fillId="0" borderId="0" xfId="0" applyFont="1"/>
    <xf numFmtId="14" fontId="20" fillId="0" borderId="0" xfId="0" applyNumberFormat="1" applyFont="1"/>
    <xf numFmtId="0" fontId="2" fillId="0" borderId="0" xfId="0" applyFont="1" applyAlignment="1">
      <alignment horizontal="left" wrapText="1"/>
    </xf>
    <xf numFmtId="0" fontId="65" fillId="0" borderId="0" xfId="0" applyFont="1"/>
    <xf numFmtId="0" fontId="59" fillId="0" borderId="0" xfId="0" applyFont="1"/>
    <xf numFmtId="0" fontId="19" fillId="0" borderId="30" xfId="0" applyFont="1" applyBorder="1"/>
    <xf numFmtId="0" fontId="2" fillId="0" borderId="0" xfId="0" applyFont="1" applyAlignment="1">
      <alignment horizontal="left"/>
    </xf>
    <xf numFmtId="0" fontId="59" fillId="0" borderId="0" xfId="0" applyFont="1" applyAlignment="1">
      <alignment vertical="top"/>
    </xf>
    <xf numFmtId="0" fontId="59" fillId="0" borderId="0" xfId="0" applyFont="1" applyAlignment="1">
      <alignment vertical="top" wrapText="1"/>
    </xf>
    <xf numFmtId="0" fontId="2" fillId="0" borderId="30" xfId="0" applyFont="1" applyBorder="1"/>
    <xf numFmtId="0" fontId="67" fillId="0" borderId="0" xfId="0" applyFont="1"/>
    <xf numFmtId="0" fontId="2" fillId="0" borderId="0" xfId="0" applyFont="1" applyAlignment="1">
      <alignment wrapText="1"/>
    </xf>
    <xf numFmtId="0" fontId="13" fillId="0" borderId="36" xfId="0" applyFont="1" applyBorder="1" applyAlignment="1">
      <alignment vertical="top"/>
    </xf>
    <xf numFmtId="0" fontId="13" fillId="0" borderId="38" xfId="0" applyFont="1" applyBorder="1" applyAlignment="1">
      <alignment vertical="top"/>
    </xf>
    <xf numFmtId="0" fontId="13" fillId="0" borderId="40" xfId="0" applyFont="1" applyBorder="1" applyAlignment="1">
      <alignment vertical="top"/>
    </xf>
    <xf numFmtId="0" fontId="13" fillId="0" borderId="41" xfId="0" applyFont="1" applyBorder="1" applyAlignment="1">
      <alignment vertical="top"/>
    </xf>
    <xf numFmtId="0" fontId="14" fillId="0" borderId="6" xfId="0" applyFont="1" applyBorder="1" applyAlignment="1">
      <alignment vertical="center"/>
    </xf>
    <xf numFmtId="0" fontId="31" fillId="0" borderId="37" xfId="0" applyFont="1" applyBorder="1" applyAlignment="1">
      <alignment vertical="top"/>
    </xf>
    <xf numFmtId="164" fontId="4" fillId="0" borderId="22" xfId="3" applyNumberFormat="1" applyFont="1" applyBorder="1"/>
    <xf numFmtId="164" fontId="4" fillId="0" borderId="19" xfId="3" applyNumberFormat="1" applyFont="1" applyBorder="1"/>
    <xf numFmtId="0" fontId="62" fillId="0" borderId="0" xfId="0" applyFont="1"/>
    <xf numFmtId="0" fontId="62" fillId="0" borderId="6" xfId="0" applyFont="1" applyBorder="1"/>
    <xf numFmtId="0" fontId="62" fillId="0" borderId="5" xfId="0" applyFont="1" applyBorder="1"/>
    <xf numFmtId="0" fontId="62" fillId="0" borderId="13" xfId="0" applyFont="1" applyBorder="1"/>
    <xf numFmtId="14" fontId="62" fillId="0" borderId="9" xfId="0" applyNumberFormat="1" applyFont="1" applyBorder="1"/>
    <xf numFmtId="0" fontId="62" fillId="0" borderId="3" xfId="0" applyFont="1" applyBorder="1"/>
    <xf numFmtId="0" fontId="62" fillId="0" borderId="4" xfId="0" applyFont="1" applyBorder="1"/>
    <xf numFmtId="14" fontId="62" fillId="0" borderId="15" xfId="0" applyNumberFormat="1" applyFont="1" applyBorder="1"/>
    <xf numFmtId="0" fontId="62" fillId="0" borderId="9" xfId="0" applyFont="1" applyBorder="1"/>
    <xf numFmtId="168" fontId="62" fillId="0" borderId="6" xfId="0" applyNumberFormat="1" applyFont="1" applyBorder="1"/>
    <xf numFmtId="0" fontId="62" fillId="0" borderId="58" xfId="0" applyFont="1" applyBorder="1" applyAlignment="1">
      <alignment horizontal="center"/>
    </xf>
    <xf numFmtId="0" fontId="62" fillId="0" borderId="21" xfId="0" applyFont="1" applyBorder="1" applyAlignment="1">
      <alignment horizontal="center"/>
    </xf>
    <xf numFmtId="0" fontId="69" fillId="0" borderId="6" xfId="0" applyFont="1" applyBorder="1" applyAlignment="1">
      <alignment horizontal="left"/>
    </xf>
    <xf numFmtId="0" fontId="69" fillId="0" borderId="5" xfId="0" applyFont="1" applyBorder="1"/>
    <xf numFmtId="0" fontId="69" fillId="0" borderId="13" xfId="0" applyFont="1" applyBorder="1"/>
    <xf numFmtId="0" fontId="69" fillId="0" borderId="9" xfId="0" applyFont="1" applyBorder="1"/>
    <xf numFmtId="9" fontId="4" fillId="0" borderId="50" xfId="3" applyNumberFormat="1" applyFont="1" applyBorder="1"/>
    <xf numFmtId="9" fontId="4" fillId="0" borderId="19" xfId="3" applyNumberFormat="1" applyFont="1" applyBorder="1"/>
    <xf numFmtId="9" fontId="4" fillId="0" borderId="22" xfId="3" applyNumberFormat="1" applyFont="1" applyBorder="1"/>
    <xf numFmtId="9" fontId="29" fillId="0" borderId="5" xfId="0" applyNumberFormat="1" applyFont="1" applyBorder="1" applyAlignment="1">
      <alignment horizontal="center" vertical="center" wrapText="1"/>
    </xf>
    <xf numFmtId="0" fontId="62" fillId="0" borderId="7" xfId="0" applyFont="1" applyBorder="1"/>
    <xf numFmtId="14" fontId="62" fillId="0" borderId="7" xfId="0" applyNumberFormat="1" applyFont="1" applyBorder="1"/>
    <xf numFmtId="0" fontId="68" fillId="0" borderId="7" xfId="0" applyFont="1" applyBorder="1"/>
    <xf numFmtId="10" fontId="4" fillId="0" borderId="0" xfId="3" applyNumberFormat="1" applyFont="1" applyProtection="1">
      <protection locked="0"/>
    </xf>
    <xf numFmtId="10" fontId="4" fillId="0" borderId="6" xfId="3" applyNumberFormat="1" applyFont="1" applyBorder="1"/>
    <xf numFmtId="0" fontId="4" fillId="2" borderId="48" xfId="3" applyFont="1" applyFill="1" applyBorder="1" applyAlignment="1">
      <alignment horizontal="center" vertical="center"/>
    </xf>
    <xf numFmtId="168" fontId="4" fillId="0" borderId="1" xfId="3" applyNumberFormat="1" applyFont="1" applyBorder="1"/>
    <xf numFmtId="168" fontId="4" fillId="7" borderId="6" xfId="3" applyNumberFormat="1" applyFont="1" applyFill="1" applyBorder="1"/>
    <xf numFmtId="9" fontId="4" fillId="0" borderId="6" xfId="3" applyNumberFormat="1" applyFont="1" applyBorder="1"/>
    <xf numFmtId="168" fontId="4" fillId="0" borderId="6" xfId="3" applyNumberFormat="1" applyFont="1" applyBorder="1"/>
    <xf numFmtId="168" fontId="4" fillId="0" borderId="48" xfId="3" applyNumberFormat="1" applyFont="1" applyBorder="1"/>
    <xf numFmtId="9" fontId="4" fillId="0" borderId="6" xfId="0" applyNumberFormat="1" applyFont="1" applyBorder="1"/>
    <xf numFmtId="0" fontId="4" fillId="0" borderId="13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170" fontId="5" fillId="0" borderId="88" xfId="3" applyNumberFormat="1" applyFont="1" applyBorder="1"/>
    <xf numFmtId="170" fontId="4" fillId="0" borderId="13" xfId="3" applyNumberFormat="1" applyFont="1" applyBorder="1"/>
    <xf numFmtId="170" fontId="5" fillId="0" borderId="13" xfId="3" applyNumberFormat="1" applyFont="1" applyBorder="1"/>
    <xf numFmtId="170" fontId="5" fillId="0" borderId="0" xfId="3" applyNumberFormat="1" applyFont="1"/>
    <xf numFmtId="10" fontId="4" fillId="0" borderId="0" xfId="3" applyNumberFormat="1" applyFont="1"/>
    <xf numFmtId="9" fontId="4" fillId="0" borderId="0" xfId="3" applyNumberFormat="1" applyFont="1"/>
    <xf numFmtId="2" fontId="4" fillId="0" borderId="0" xfId="3" applyNumberFormat="1" applyFont="1"/>
    <xf numFmtId="170" fontId="4" fillId="0" borderId="0" xfId="0" applyNumberFormat="1" applyFont="1"/>
    <xf numFmtId="2" fontId="4" fillId="0" borderId="0" xfId="3" applyNumberFormat="1" applyFont="1" applyAlignment="1">
      <alignment horizontal="right"/>
    </xf>
    <xf numFmtId="2" fontId="5" fillId="0" borderId="0" xfId="3" applyNumberFormat="1" applyFont="1"/>
    <xf numFmtId="9" fontId="4" fillId="0" borderId="0" xfId="0" applyNumberFormat="1" applyFont="1"/>
    <xf numFmtId="0" fontId="4" fillId="0" borderId="0" xfId="3" applyFont="1" applyAlignment="1">
      <alignment horizontal="center" vertical="center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56" fillId="0" borderId="0" xfId="0" applyFont="1" applyAlignment="1">
      <alignment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6" xfId="3" applyNumberFormat="1" applyFont="1" applyBorder="1"/>
    <xf numFmtId="165" fontId="4" fillId="0" borderId="9" xfId="3" applyNumberFormat="1" applyFont="1" applyBorder="1"/>
    <xf numFmtId="166" fontId="4" fillId="0" borderId="6" xfId="3" applyNumberFormat="1" applyFont="1" applyBorder="1"/>
    <xf numFmtId="166" fontId="4" fillId="0" borderId="9" xfId="3" applyNumberFormat="1" applyFont="1" applyBorder="1"/>
    <xf numFmtId="0" fontId="0" fillId="0" borderId="85" xfId="0" applyBorder="1"/>
    <xf numFmtId="164" fontId="4" fillId="7" borderId="9" xfId="3" applyNumberFormat="1" applyFont="1" applyFill="1" applyBorder="1"/>
    <xf numFmtId="164" fontId="4" fillId="36" borderId="9" xfId="3" applyNumberFormat="1" applyFont="1" applyFill="1" applyBorder="1"/>
    <xf numFmtId="164" fontId="4" fillId="36" borderId="6" xfId="3" applyNumberFormat="1" applyFont="1" applyFill="1" applyBorder="1"/>
    <xf numFmtId="164" fontId="4" fillId="7" borderId="6" xfId="3" applyNumberFormat="1" applyFont="1" applyFill="1" applyBorder="1"/>
    <xf numFmtId="0" fontId="53" fillId="0" borderId="0" xfId="0" applyFont="1" applyAlignment="1">
      <alignment vertical="top"/>
    </xf>
    <xf numFmtId="0" fontId="20" fillId="0" borderId="9" xfId="0" applyFont="1" applyBorder="1" applyAlignment="1">
      <alignment horizontal="center" vertical="center"/>
    </xf>
    <xf numFmtId="168" fontId="4" fillId="2" borderId="6" xfId="3" applyNumberFormat="1" applyFont="1" applyFill="1" applyBorder="1"/>
    <xf numFmtId="168" fontId="4" fillId="2" borderId="9" xfId="3" applyNumberFormat="1" applyFont="1" applyFill="1" applyBorder="1"/>
    <xf numFmtId="164" fontId="4" fillId="36" borderId="16" xfId="3" applyNumberFormat="1" applyFont="1" applyFill="1" applyBorder="1"/>
    <xf numFmtId="0" fontId="5" fillId="0" borderId="0" xfId="0" applyFont="1" applyAlignment="1">
      <alignment horizontal="right"/>
    </xf>
    <xf numFmtId="10" fontId="0" fillId="0" borderId="0" xfId="0" applyNumberFormat="1"/>
    <xf numFmtId="10" fontId="20" fillId="0" borderId="9" xfId="0" applyNumberFormat="1" applyFont="1" applyBorder="1"/>
    <xf numFmtId="10" fontId="57" fillId="0" borderId="0" xfId="0" applyNumberFormat="1" applyFont="1"/>
    <xf numFmtId="170" fontId="5" fillId="0" borderId="9" xfId="3" applyNumberFormat="1" applyFont="1" applyBorder="1"/>
    <xf numFmtId="0" fontId="57" fillId="2" borderId="0" xfId="3" applyFont="1" applyFill="1" applyAlignment="1">
      <alignment horizontal="center"/>
    </xf>
    <xf numFmtId="0" fontId="4" fillId="2" borderId="9" xfId="3" applyFont="1" applyFill="1" applyBorder="1" applyAlignment="1">
      <alignment horizontal="left"/>
    </xf>
    <xf numFmtId="14" fontId="62" fillId="0" borderId="0" xfId="0" applyNumberFormat="1" applyFont="1"/>
    <xf numFmtId="168" fontId="20" fillId="0" borderId="50" xfId="0" applyNumberFormat="1" applyFont="1" applyBorder="1"/>
    <xf numFmtId="168" fontId="20" fillId="0" borderId="19" xfId="0" applyNumberFormat="1" applyFont="1" applyBorder="1"/>
    <xf numFmtId="168" fontId="20" fillId="0" borderId="53" xfId="0" applyNumberFormat="1" applyFont="1" applyBorder="1"/>
    <xf numFmtId="168" fontId="20" fillId="0" borderId="24" xfId="0" applyNumberFormat="1" applyFont="1" applyBorder="1"/>
    <xf numFmtId="14" fontId="20" fillId="0" borderId="9" xfId="0" applyNumberFormat="1" applyFont="1" applyBorder="1"/>
    <xf numFmtId="14" fontId="20" fillId="0" borderId="6" xfId="0" applyNumberFormat="1" applyFont="1" applyBorder="1"/>
    <xf numFmtId="170" fontId="4" fillId="0" borderId="9" xfId="3" quotePrefix="1" applyNumberFormat="1" applyFont="1" applyBorder="1"/>
    <xf numFmtId="168" fontId="20" fillId="0" borderId="9" xfId="0" applyNumberFormat="1" applyFont="1" applyBorder="1" applyAlignment="1">
      <alignment horizontal="right"/>
    </xf>
    <xf numFmtId="1" fontId="4" fillId="0" borderId="6" xfId="3" applyNumberFormat="1" applyFont="1" applyBorder="1"/>
    <xf numFmtId="1" fontId="4" fillId="0" borderId="9" xfId="3" applyNumberFormat="1" applyFont="1" applyBorder="1"/>
    <xf numFmtId="14" fontId="20" fillId="0" borderId="9" xfId="0" applyNumberFormat="1" applyFont="1" applyBorder="1" applyAlignment="1">
      <alignment horizontal="right"/>
    </xf>
    <xf numFmtId="14" fontId="20" fillId="0" borderId="6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70" fontId="4" fillId="0" borderId="9" xfId="3" applyNumberFormat="1" applyFont="1" applyBorder="1" applyAlignment="1">
      <alignment horizontal="right"/>
    </xf>
    <xf numFmtId="0" fontId="20" fillId="0" borderId="50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14" fontId="20" fillId="0" borderId="0" xfId="0" applyNumberFormat="1" applyFont="1" applyAlignment="1">
      <alignment horizontal="right"/>
    </xf>
    <xf numFmtId="0" fontId="72" fillId="0" borderId="0" xfId="0" applyFont="1"/>
    <xf numFmtId="170" fontId="10" fillId="37" borderId="9" xfId="3" quotePrefix="1" applyNumberFormat="1" applyFont="1" applyFill="1" applyBorder="1"/>
    <xf numFmtId="0" fontId="2" fillId="0" borderId="9" xfId="3" applyFont="1" applyBorder="1" applyAlignment="1">
      <alignment horizontal="center"/>
    </xf>
    <xf numFmtId="2" fontId="2" fillId="0" borderId="9" xfId="0" applyNumberFormat="1" applyFont="1" applyBorder="1" applyAlignment="1">
      <alignment horizontal="right" indent="1"/>
    </xf>
    <xf numFmtId="0" fontId="59" fillId="0" borderId="14" xfId="3" applyFont="1" applyBorder="1" applyAlignment="1">
      <alignment horizontal="center"/>
    </xf>
    <xf numFmtId="168" fontId="59" fillId="0" borderId="16" xfId="0" applyNumberFormat="1" applyFont="1" applyBorder="1" applyAlignment="1">
      <alignment horizontal="right"/>
    </xf>
    <xf numFmtId="2" fontId="59" fillId="0" borderId="16" xfId="0" applyNumberFormat="1" applyFont="1" applyBorder="1" applyAlignment="1">
      <alignment horizontal="right"/>
    </xf>
    <xf numFmtId="2" fontId="59" fillId="0" borderId="9" xfId="0" applyNumberFormat="1" applyFont="1" applyBorder="1" applyAlignment="1">
      <alignment horizontal="right"/>
    </xf>
    <xf numFmtId="0" fontId="74" fillId="0" borderId="84" xfId="0" applyFont="1" applyBorder="1" applyAlignment="1">
      <alignment horizontal="left"/>
    </xf>
    <xf numFmtId="0" fontId="74" fillId="0" borderId="38" xfId="0" applyFont="1" applyBorder="1" applyAlignment="1">
      <alignment wrapText="1"/>
    </xf>
    <xf numFmtId="0" fontId="31" fillId="0" borderId="0" xfId="0" applyFont="1"/>
    <xf numFmtId="0" fontId="62" fillId="0" borderId="0" xfId="0" applyFont="1" applyAlignment="1">
      <alignment horizontal="center"/>
    </xf>
    <xf numFmtId="168" fontId="62" fillId="0" borderId="0" xfId="0" applyNumberFormat="1" applyFont="1"/>
    <xf numFmtId="0" fontId="14" fillId="38" borderId="0" xfId="0" applyFont="1" applyFill="1"/>
    <xf numFmtId="0" fontId="13" fillId="38" borderId="0" xfId="0" applyFont="1" applyFill="1"/>
    <xf numFmtId="0" fontId="14" fillId="39" borderId="0" xfId="0" applyFont="1" applyFill="1"/>
    <xf numFmtId="0" fontId="13" fillId="39" borderId="0" xfId="0" applyFont="1" applyFill="1"/>
    <xf numFmtId="0" fontId="14" fillId="40" borderId="0" xfId="0" applyFont="1" applyFill="1"/>
    <xf numFmtId="0" fontId="13" fillId="40" borderId="0" xfId="0" applyFont="1" applyFill="1"/>
    <xf numFmtId="0" fontId="14" fillId="41" borderId="0" xfId="0" applyFont="1" applyFill="1"/>
    <xf numFmtId="0" fontId="13" fillId="41" borderId="0" xfId="0" applyFont="1" applyFill="1"/>
    <xf numFmtId="164" fontId="57" fillId="0" borderId="0" xfId="3" applyNumberFormat="1" applyFont="1"/>
    <xf numFmtId="0" fontId="55" fillId="0" borderId="0" xfId="0" applyFont="1" applyAlignment="1">
      <alignment horizontal="center" vertical="center" wrapText="1"/>
    </xf>
    <xf numFmtId="0" fontId="63" fillId="0" borderId="0" xfId="0" applyFont="1"/>
    <xf numFmtId="0" fontId="75" fillId="0" borderId="0" xfId="0" applyFont="1"/>
    <xf numFmtId="0" fontId="2" fillId="0" borderId="6" xfId="0" applyFont="1" applyBorder="1"/>
    <xf numFmtId="0" fontId="2" fillId="0" borderId="5" xfId="0" applyFont="1" applyBorder="1"/>
    <xf numFmtId="49" fontId="4" fillId="0" borderId="6" xfId="3" quotePrefix="1" applyNumberFormat="1" applyFont="1" applyBorder="1"/>
    <xf numFmtId="0" fontId="13" fillId="0" borderId="9" xfId="0" applyFont="1" applyBorder="1" applyAlignment="1">
      <alignment vertical="top"/>
    </xf>
    <xf numFmtId="167" fontId="3" fillId="0" borderId="9" xfId="0" applyNumberFormat="1" applyFont="1" applyBorder="1" applyProtection="1">
      <protection locked="0"/>
    </xf>
    <xf numFmtId="0" fontId="22" fillId="3" borderId="9" xfId="0" applyFont="1" applyFill="1" applyBorder="1" applyAlignment="1" applyProtection="1">
      <alignment horizontal="right"/>
      <protection locked="0"/>
    </xf>
    <xf numFmtId="1" fontId="4" fillId="2" borderId="17" xfId="3" applyNumberFormat="1" applyFont="1" applyFill="1" applyBorder="1" applyAlignment="1">
      <alignment horizontal="center"/>
    </xf>
    <xf numFmtId="1" fontId="4" fillId="2" borderId="16" xfId="3" applyNumberFormat="1" applyFont="1" applyFill="1" applyBorder="1" applyAlignment="1">
      <alignment horizontal="center"/>
    </xf>
    <xf numFmtId="1" fontId="4" fillId="2" borderId="9" xfId="3" applyNumberFormat="1" applyFont="1" applyFill="1" applyBorder="1" applyAlignment="1">
      <alignment horizontal="center"/>
    </xf>
    <xf numFmtId="1" fontId="4" fillId="2" borderId="8" xfId="3" applyNumberFormat="1" applyFont="1" applyFill="1" applyBorder="1" applyAlignment="1">
      <alignment horizontal="center"/>
    </xf>
    <xf numFmtId="171" fontId="5" fillId="2" borderId="9" xfId="3" applyNumberFormat="1" applyFont="1" applyFill="1" applyBorder="1"/>
    <xf numFmtId="0" fontId="13" fillId="0" borderId="5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6" xfId="0" applyFont="1" applyBorder="1" applyAlignment="1">
      <alignment horizontal="left"/>
    </xf>
    <xf numFmtId="0" fontId="8" fillId="42" borderId="6" xfId="0" applyFont="1" applyFill="1" applyBorder="1"/>
    <xf numFmtId="0" fontId="8" fillId="42" borderId="5" xfId="0" applyFont="1" applyFill="1" applyBorder="1"/>
    <xf numFmtId="0" fontId="8" fillId="42" borderId="13" xfId="0" applyFont="1" applyFill="1" applyBorder="1"/>
    <xf numFmtId="0" fontId="8" fillId="43" borderId="6" xfId="0" applyFont="1" applyFill="1" applyBorder="1"/>
    <xf numFmtId="0" fontId="8" fillId="43" borderId="5" xfId="0" applyFont="1" applyFill="1" applyBorder="1"/>
    <xf numFmtId="0" fontId="8" fillId="43" borderId="13" xfId="0" applyFont="1" applyFill="1" applyBorder="1"/>
    <xf numFmtId="164" fontId="3" fillId="44" borderId="6" xfId="3" applyNumberFormat="1" applyFill="1" applyBorder="1"/>
    <xf numFmtId="164" fontId="3" fillId="44" borderId="5" xfId="3" applyNumberFormat="1" applyFill="1" applyBorder="1"/>
    <xf numFmtId="164" fontId="3" fillId="44" borderId="13" xfId="3" applyNumberFormat="1" applyFill="1" applyBorder="1"/>
    <xf numFmtId="170" fontId="4" fillId="6" borderId="22" xfId="3" applyNumberFormat="1" applyFont="1" applyFill="1" applyBorder="1"/>
    <xf numFmtId="170" fontId="4" fillId="6" borderId="6" xfId="3" applyNumberFormat="1" applyFont="1" applyFill="1" applyBorder="1"/>
    <xf numFmtId="170" fontId="4" fillId="0" borderId="76" xfId="3" applyNumberFormat="1" applyFont="1" applyBorder="1"/>
    <xf numFmtId="0" fontId="20" fillId="0" borderId="22" xfId="0" applyFont="1" applyBorder="1" applyAlignment="1">
      <alignment horizontal="center"/>
    </xf>
    <xf numFmtId="0" fontId="4" fillId="2" borderId="5" xfId="3" applyFont="1" applyFill="1" applyBorder="1" applyAlignment="1">
      <alignment horizontal="left"/>
    </xf>
    <xf numFmtId="0" fontId="4" fillId="2" borderId="80" xfId="3" applyFont="1" applyFill="1" applyBorder="1" applyAlignment="1">
      <alignment horizontal="center"/>
    </xf>
    <xf numFmtId="170" fontId="4" fillId="0" borderId="50" xfId="3" applyNumberFormat="1" applyFont="1" applyBorder="1" applyAlignment="1">
      <alignment horizontal="right"/>
    </xf>
    <xf numFmtId="170" fontId="4" fillId="0" borderId="19" xfId="3" applyNumberFormat="1" applyFont="1" applyBorder="1" applyAlignment="1">
      <alignment horizontal="right"/>
    </xf>
    <xf numFmtId="0" fontId="53" fillId="0" borderId="9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9" xfId="0" applyFont="1" applyBorder="1" applyAlignment="1">
      <alignment horizontal="left" indent="1"/>
    </xf>
    <xf numFmtId="170" fontId="4" fillId="0" borderId="58" xfId="3" applyNumberFormat="1" applyFont="1" applyBorder="1"/>
    <xf numFmtId="170" fontId="4" fillId="0" borderId="21" xfId="3" applyNumberFormat="1" applyFont="1" applyBorder="1"/>
    <xf numFmtId="170" fontId="4" fillId="0" borderId="53" xfId="3" applyNumberFormat="1" applyFont="1" applyBorder="1" applyAlignment="1">
      <alignment horizontal="right"/>
    </xf>
    <xf numFmtId="170" fontId="4" fillId="0" borderId="24" xfId="3" applyNumberFormat="1" applyFont="1" applyBorder="1" applyAlignment="1">
      <alignment horizontal="right"/>
    </xf>
    <xf numFmtId="170" fontId="4" fillId="0" borderId="18" xfId="3" applyNumberFormat="1" applyFont="1" applyBorder="1"/>
    <xf numFmtId="170" fontId="4" fillId="0" borderId="89" xfId="3" applyNumberFormat="1" applyFont="1" applyBorder="1" applyAlignment="1">
      <alignment horizontal="right"/>
    </xf>
    <xf numFmtId="0" fontId="4" fillId="0" borderId="2" xfId="3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>
      <alignment horizontal="right"/>
    </xf>
    <xf numFmtId="0" fontId="4" fillId="2" borderId="8" xfId="3" applyFont="1" applyFill="1" applyBorder="1"/>
    <xf numFmtId="49" fontId="4" fillId="2" borderId="8" xfId="3" applyNumberFormat="1" applyFont="1" applyFill="1" applyBorder="1"/>
    <xf numFmtId="2" fontId="4" fillId="0" borderId="0" xfId="0" applyNumberFormat="1" applyFont="1" applyAlignment="1">
      <alignment horizontal="right"/>
    </xf>
    <xf numFmtId="170" fontId="4" fillId="0" borderId="0" xfId="3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0" applyNumberFormat="1" applyFont="1"/>
    <xf numFmtId="0" fontId="5" fillId="0" borderId="0" xfId="0" applyFont="1" applyAlignment="1">
      <alignment vertical="top"/>
    </xf>
    <xf numFmtId="0" fontId="71" fillId="0" borderId="9" xfId="3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indent="1"/>
    </xf>
    <xf numFmtId="0" fontId="53" fillId="0" borderId="0" xfId="0" applyFont="1" applyAlignment="1">
      <alignment horizontal="left"/>
    </xf>
    <xf numFmtId="49" fontId="5" fillId="2" borderId="1" xfId="3" applyNumberFormat="1" applyFont="1" applyFill="1" applyBorder="1"/>
    <xf numFmtId="49" fontId="5" fillId="2" borderId="14" xfId="3" applyNumberFormat="1" applyFont="1" applyFill="1" applyBorder="1"/>
    <xf numFmtId="0" fontId="20" fillId="0" borderId="16" xfId="0" applyFont="1" applyBorder="1" applyAlignment="1">
      <alignment horizontal="left"/>
    </xf>
    <xf numFmtId="0" fontId="20" fillId="0" borderId="8" xfId="0" applyFont="1" applyBorder="1" applyAlignment="1">
      <alignment horizontal="left" indent="1"/>
    </xf>
    <xf numFmtId="14" fontId="8" fillId="0" borderId="0" xfId="0" applyNumberFormat="1" applyFont="1" applyAlignment="1" applyProtection="1">
      <alignment horizontal="right" indent="2"/>
      <protection locked="0"/>
    </xf>
    <xf numFmtId="164" fontId="10" fillId="0" borderId="6" xfId="3" applyNumberFormat="1" applyFont="1" applyBorder="1"/>
    <xf numFmtId="164" fontId="10" fillId="0" borderId="5" xfId="3" applyNumberFormat="1" applyFont="1" applyBorder="1"/>
    <xf numFmtId="164" fontId="10" fillId="0" borderId="2" xfId="3" applyNumberFormat="1" applyFont="1" applyBorder="1"/>
    <xf numFmtId="0" fontId="71" fillId="0" borderId="0" xfId="3" applyFont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4" fillId="0" borderId="9" xfId="3" applyFont="1" applyBorder="1" applyProtection="1">
      <protection locked="0"/>
    </xf>
    <xf numFmtId="0" fontId="0" fillId="0" borderId="9" xfId="0" applyBorder="1"/>
    <xf numFmtId="0" fontId="71" fillId="0" borderId="5" xfId="3" applyFont="1" applyBorder="1" applyProtection="1">
      <protection locked="0"/>
    </xf>
    <xf numFmtId="0" fontId="71" fillId="0" borderId="13" xfId="3" applyFont="1" applyBorder="1" applyProtection="1">
      <protection locked="0"/>
    </xf>
    <xf numFmtId="49" fontId="2" fillId="2" borderId="9" xfId="5" applyNumberFormat="1" applyFill="1" applyBorder="1" applyAlignment="1">
      <alignment horizontal="right"/>
    </xf>
    <xf numFmtId="168" fontId="4" fillId="0" borderId="16" xfId="3" applyNumberFormat="1" applyFont="1" applyBorder="1" applyAlignment="1">
      <alignment horizontal="right"/>
    </xf>
    <xf numFmtId="168" fontId="4" fillId="0" borderId="8" xfId="3" applyNumberFormat="1" applyFont="1" applyBorder="1" applyAlignment="1">
      <alignment horizontal="right"/>
    </xf>
    <xf numFmtId="168" fontId="4" fillId="0" borderId="16" xfId="3" applyNumberFormat="1" applyFont="1" applyBorder="1"/>
    <xf numFmtId="0" fontId="18" fillId="0" borderId="8" xfId="0" applyFont="1" applyBorder="1"/>
    <xf numFmtId="168" fontId="4" fillId="0" borderId="1" xfId="3" applyNumberFormat="1" applyFont="1" applyBorder="1" applyAlignment="1">
      <alignment horizontal="right"/>
    </xf>
    <xf numFmtId="168" fontId="4" fillId="0" borderId="3" xfId="3" applyNumberFormat="1" applyFont="1" applyBorder="1" applyAlignment="1">
      <alignment horizontal="right"/>
    </xf>
    <xf numFmtId="168" fontId="4" fillId="0" borderId="7" xfId="3" applyNumberFormat="1" applyFont="1" applyBorder="1" applyAlignment="1">
      <alignment horizontal="right"/>
    </xf>
    <xf numFmtId="168" fontId="4" fillId="7" borderId="8" xfId="3" applyNumberFormat="1" applyFont="1" applyFill="1" applyBorder="1"/>
    <xf numFmtId="0" fontId="18" fillId="0" borderId="3" xfId="0" applyFont="1" applyBorder="1"/>
    <xf numFmtId="168" fontId="4" fillId="0" borderId="17" xfId="3" applyNumberFormat="1" applyFont="1" applyBorder="1" applyAlignment="1">
      <alignment horizontal="right"/>
    </xf>
    <xf numFmtId="10" fontId="4" fillId="0" borderId="75" xfId="3" applyNumberFormat="1" applyFont="1" applyBorder="1"/>
    <xf numFmtId="10" fontId="4" fillId="0" borderId="78" xfId="3" applyNumberFormat="1" applyFont="1" applyBorder="1"/>
    <xf numFmtId="10" fontId="4" fillId="0" borderId="13" xfId="3" applyNumberFormat="1" applyFont="1" applyBorder="1"/>
    <xf numFmtId="168" fontId="10" fillId="4" borderId="6" xfId="3" applyNumberFormat="1" applyFont="1" applyFill="1" applyBorder="1" applyProtection="1">
      <protection locked="0"/>
    </xf>
    <xf numFmtId="168" fontId="4" fillId="7" borderId="25" xfId="3" applyNumberFormat="1" applyFont="1" applyFill="1" applyBorder="1" applyProtection="1">
      <protection locked="0"/>
    </xf>
    <xf numFmtId="168" fontId="4" fillId="7" borderId="26" xfId="3" applyNumberFormat="1" applyFont="1" applyFill="1" applyBorder="1" applyProtection="1">
      <protection locked="0"/>
    </xf>
    <xf numFmtId="9" fontId="10" fillId="4" borderId="9" xfId="0" applyNumberFormat="1" applyFont="1" applyFill="1" applyBorder="1" applyProtection="1">
      <protection locked="0"/>
    </xf>
    <xf numFmtId="164" fontId="4" fillId="0" borderId="60" xfId="3" applyNumberFormat="1" applyFont="1" applyBorder="1" applyProtection="1">
      <protection locked="0"/>
    </xf>
    <xf numFmtId="164" fontId="4" fillId="0" borderId="26" xfId="3" applyNumberFormat="1" applyFont="1" applyBorder="1" applyProtection="1">
      <protection locked="0"/>
    </xf>
    <xf numFmtId="164" fontId="10" fillId="4" borderId="22" xfId="3" applyNumberFormat="1" applyFont="1" applyFill="1" applyBorder="1" applyProtection="1">
      <protection locked="0"/>
    </xf>
    <xf numFmtId="164" fontId="4" fillId="36" borderId="6" xfId="3" applyNumberFormat="1" applyFont="1" applyFill="1" applyBorder="1" applyProtection="1">
      <protection locked="0"/>
    </xf>
    <xf numFmtId="164" fontId="4" fillId="36" borderId="9" xfId="3" applyNumberFormat="1" applyFont="1" applyFill="1" applyBorder="1" applyProtection="1">
      <protection locked="0"/>
    </xf>
    <xf numFmtId="165" fontId="10" fillId="4" borderId="6" xfId="3" applyNumberFormat="1" applyFont="1" applyFill="1" applyBorder="1" applyProtection="1">
      <protection locked="0"/>
    </xf>
    <xf numFmtId="166" fontId="10" fillId="4" borderId="9" xfId="3" applyNumberFormat="1" applyFont="1" applyFill="1" applyBorder="1" applyProtection="1">
      <protection locked="0"/>
    </xf>
    <xf numFmtId="165" fontId="10" fillId="4" borderId="9" xfId="3" applyNumberFormat="1" applyFont="1" applyFill="1" applyBorder="1" applyProtection="1">
      <protection locked="0"/>
    </xf>
    <xf numFmtId="164" fontId="4" fillId="36" borderId="16" xfId="3" applyNumberFormat="1" applyFont="1" applyFill="1" applyBorder="1" applyProtection="1">
      <protection locked="0"/>
    </xf>
    <xf numFmtId="164" fontId="10" fillId="4" borderId="6" xfId="3" applyNumberFormat="1" applyFont="1" applyFill="1" applyBorder="1" applyProtection="1">
      <protection locked="0"/>
    </xf>
    <xf numFmtId="164" fontId="10" fillId="4" borderId="1" xfId="3" applyNumberFormat="1" applyFont="1" applyFill="1" applyBorder="1" applyProtection="1">
      <protection locked="0"/>
    </xf>
    <xf numFmtId="164" fontId="10" fillId="4" borderId="9" xfId="3" applyNumberFormat="1" applyFont="1" applyFill="1" applyBorder="1" applyProtection="1">
      <protection locked="0"/>
    </xf>
    <xf numFmtId="164" fontId="10" fillId="4" borderId="3" xfId="3" applyNumberFormat="1" applyFont="1" applyFill="1" applyBorder="1" applyProtection="1">
      <protection locked="0"/>
    </xf>
    <xf numFmtId="166" fontId="10" fillId="4" borderId="6" xfId="3" applyNumberFormat="1" applyFont="1" applyFill="1" applyBorder="1" applyProtection="1">
      <protection locked="0"/>
    </xf>
    <xf numFmtId="164" fontId="4" fillId="0" borderId="6" xfId="3" applyNumberFormat="1" applyFont="1" applyBorder="1" applyProtection="1">
      <protection locked="0"/>
    </xf>
    <xf numFmtId="164" fontId="4" fillId="0" borderId="9" xfId="3" applyNumberFormat="1" applyFont="1" applyBorder="1" applyProtection="1">
      <protection locked="0"/>
    </xf>
    <xf numFmtId="170" fontId="4" fillId="5" borderId="6" xfId="3" applyNumberFormat="1" applyFont="1" applyFill="1" applyBorder="1" applyProtection="1">
      <protection locked="0"/>
    </xf>
    <xf numFmtId="170" fontId="10" fillId="10" borderId="6" xfId="3" applyNumberFormat="1" applyFont="1" applyFill="1" applyBorder="1" applyProtection="1">
      <protection locked="0"/>
    </xf>
    <xf numFmtId="170" fontId="4" fillId="5" borderId="1" xfId="3" applyNumberFormat="1" applyFont="1" applyFill="1" applyBorder="1" applyProtection="1">
      <protection locked="0"/>
    </xf>
    <xf numFmtId="170" fontId="10" fillId="10" borderId="1" xfId="3" applyNumberFormat="1" applyFont="1" applyFill="1" applyBorder="1" applyProtection="1">
      <protection locked="0"/>
    </xf>
    <xf numFmtId="170" fontId="10" fillId="10" borderId="16" xfId="3" applyNumberFormat="1" applyFont="1" applyFill="1" applyBorder="1" applyProtection="1">
      <protection locked="0"/>
    </xf>
    <xf numFmtId="171" fontId="10" fillId="4" borderId="44" xfId="3" applyNumberFormat="1" applyFont="1" applyFill="1" applyBorder="1" applyAlignment="1" applyProtection="1">
      <alignment horizontal="right"/>
      <protection locked="0"/>
    </xf>
    <xf numFmtId="171" fontId="10" fillId="4" borderId="45" xfId="3" applyNumberFormat="1" applyFont="1" applyFill="1" applyBorder="1" applyAlignment="1" applyProtection="1">
      <alignment horizontal="right"/>
      <protection locked="0"/>
    </xf>
    <xf numFmtId="170" fontId="4" fillId="7" borderId="9" xfId="3" applyNumberFormat="1" applyFont="1" applyFill="1" applyBorder="1" applyProtection="1">
      <protection locked="0"/>
    </xf>
    <xf numFmtId="170" fontId="10" fillId="3" borderId="9" xfId="3" applyNumberFormat="1" applyFont="1" applyFill="1" applyBorder="1" applyProtection="1">
      <protection locked="0"/>
    </xf>
    <xf numFmtId="170" fontId="10" fillId="3" borderId="6" xfId="3" applyNumberFormat="1" applyFont="1" applyFill="1" applyBorder="1" applyProtection="1">
      <protection locked="0"/>
    </xf>
    <xf numFmtId="170" fontId="4" fillId="5" borderId="27" xfId="3" applyNumberFormat="1" applyFont="1" applyFill="1" applyBorder="1" applyProtection="1">
      <protection locked="0"/>
    </xf>
    <xf numFmtId="170" fontId="10" fillId="4" borderId="43" xfId="3" applyNumberFormat="1" applyFont="1" applyFill="1" applyBorder="1" applyProtection="1">
      <protection locked="0"/>
    </xf>
    <xf numFmtId="170" fontId="4" fillId="5" borderId="43" xfId="3" applyNumberFormat="1" applyFont="1" applyFill="1" applyBorder="1" applyProtection="1">
      <protection locked="0"/>
    </xf>
    <xf numFmtId="170" fontId="10" fillId="4" borderId="44" xfId="3" applyNumberFormat="1" applyFont="1" applyFill="1" applyBorder="1" applyProtection="1">
      <protection locked="0"/>
    </xf>
    <xf numFmtId="170" fontId="4" fillId="5" borderId="3" xfId="3" applyNumberFormat="1" applyFont="1" applyFill="1" applyBorder="1" applyProtection="1">
      <protection locked="0"/>
    </xf>
    <xf numFmtId="170" fontId="10" fillId="4" borderId="3" xfId="3" applyNumberFormat="1" applyFont="1" applyFill="1" applyBorder="1" applyProtection="1">
      <protection locked="0"/>
    </xf>
    <xf numFmtId="170" fontId="10" fillId="4" borderId="8" xfId="3" applyNumberFormat="1" applyFont="1" applyFill="1" applyBorder="1" applyProtection="1">
      <protection locked="0"/>
    </xf>
    <xf numFmtId="170" fontId="10" fillId="4" borderId="1" xfId="3" applyNumberFormat="1" applyFont="1" applyFill="1" applyBorder="1" applyProtection="1">
      <protection locked="0"/>
    </xf>
    <xf numFmtId="170" fontId="10" fillId="4" borderId="16" xfId="3" applyNumberFormat="1" applyFont="1" applyFill="1" applyBorder="1" applyProtection="1">
      <protection locked="0"/>
    </xf>
    <xf numFmtId="170" fontId="4" fillId="5" borderId="9" xfId="3" applyNumberFormat="1" applyFont="1" applyFill="1" applyBorder="1" applyProtection="1">
      <protection locked="0"/>
    </xf>
    <xf numFmtId="170" fontId="10" fillId="4" borderId="9" xfId="3" applyNumberFormat="1" applyFont="1" applyFill="1" applyBorder="1" applyProtection="1">
      <protection locked="0"/>
    </xf>
    <xf numFmtId="170" fontId="4" fillId="0" borderId="8" xfId="3" applyNumberFormat="1" applyFont="1" applyBorder="1" applyProtection="1">
      <protection locked="0"/>
    </xf>
    <xf numFmtId="170" fontId="4" fillId="5" borderId="81" xfId="3" applyNumberFormat="1" applyFont="1" applyFill="1" applyBorder="1" applyProtection="1">
      <protection locked="0"/>
    </xf>
    <xf numFmtId="9" fontId="10" fillId="3" borderId="9" xfId="3" applyNumberFormat="1" applyFont="1" applyFill="1" applyBorder="1" applyProtection="1">
      <protection locked="0"/>
    </xf>
    <xf numFmtId="167" fontId="4" fillId="6" borderId="9" xfId="3" applyNumberFormat="1" applyFont="1" applyFill="1" applyBorder="1" applyProtection="1">
      <protection locked="0"/>
    </xf>
    <xf numFmtId="167" fontId="10" fillId="4" borderId="9" xfId="3" applyNumberFormat="1" applyFont="1" applyFill="1" applyBorder="1" applyProtection="1">
      <protection locked="0"/>
    </xf>
    <xf numFmtId="10" fontId="10" fillId="4" borderId="9" xfId="3" applyNumberFormat="1" applyFont="1" applyFill="1" applyBorder="1" applyProtection="1">
      <protection locked="0"/>
    </xf>
    <xf numFmtId="0" fontId="20" fillId="0" borderId="53" xfId="0" applyFont="1" applyBorder="1" applyAlignment="1" applyProtection="1">
      <alignment wrapText="1"/>
      <protection locked="0"/>
    </xf>
    <xf numFmtId="14" fontId="10" fillId="4" borderId="24" xfId="0" applyNumberFormat="1" applyFont="1" applyFill="1" applyBorder="1" applyAlignment="1" applyProtection="1">
      <alignment horizontal="center" vertical="center"/>
      <protection locked="0"/>
    </xf>
    <xf numFmtId="170" fontId="10" fillId="4" borderId="6" xfId="3" applyNumberFormat="1" applyFont="1" applyFill="1" applyBorder="1" applyProtection="1">
      <protection locked="0"/>
    </xf>
    <xf numFmtId="170" fontId="10" fillId="4" borderId="22" xfId="3" applyNumberFormat="1" applyFont="1" applyFill="1" applyBorder="1" applyProtection="1">
      <protection locked="0"/>
    </xf>
    <xf numFmtId="170" fontId="10" fillId="4" borderId="19" xfId="3" applyNumberFormat="1" applyFont="1" applyFill="1" applyBorder="1" applyProtection="1">
      <protection locked="0"/>
    </xf>
    <xf numFmtId="170" fontId="10" fillId="4" borderId="24" xfId="3" applyNumberFormat="1" applyFont="1" applyFill="1" applyBorder="1" applyProtection="1">
      <protection locked="0"/>
    </xf>
    <xf numFmtId="170" fontId="10" fillId="4" borderId="23" xfId="3" applyNumberFormat="1" applyFont="1" applyFill="1" applyBorder="1" applyProtection="1">
      <protection locked="0"/>
    </xf>
    <xf numFmtId="170" fontId="4" fillId="0" borderId="13" xfId="3" applyNumberFormat="1" applyFont="1" applyBorder="1" applyProtection="1">
      <protection locked="0"/>
    </xf>
    <xf numFmtId="170" fontId="4" fillId="0" borderId="19" xfId="3" applyNumberFormat="1" applyFont="1" applyBorder="1" applyProtection="1">
      <protection locked="0"/>
    </xf>
    <xf numFmtId="170" fontId="4" fillId="0" borderId="24" xfId="3" applyNumberFormat="1" applyFont="1" applyBorder="1" applyProtection="1">
      <protection locked="0"/>
    </xf>
    <xf numFmtId="170" fontId="4" fillId="0" borderId="89" xfId="3" applyNumberFormat="1" applyFont="1" applyBorder="1" applyProtection="1">
      <protection locked="0"/>
    </xf>
    <xf numFmtId="10" fontId="10" fillId="4" borderId="52" xfId="3" quotePrefix="1" applyNumberFormat="1" applyFont="1" applyFill="1" applyBorder="1" applyProtection="1">
      <protection locked="0"/>
    </xf>
    <xf numFmtId="10" fontId="10" fillId="4" borderId="19" xfId="3" quotePrefix="1" applyNumberFormat="1" applyFont="1" applyFill="1" applyBorder="1" applyProtection="1">
      <protection locked="0"/>
    </xf>
    <xf numFmtId="167" fontId="2" fillId="0" borderId="9" xfId="0" applyNumberFormat="1" applyFont="1" applyBorder="1" applyProtection="1">
      <protection locked="0"/>
    </xf>
    <xf numFmtId="49" fontId="8" fillId="4" borderId="6" xfId="5" applyNumberFormat="1" applyFont="1" applyFill="1" applyBorder="1" applyAlignment="1">
      <alignment horizontal="left" indent="1"/>
    </xf>
    <xf numFmtId="49" fontId="8" fillId="4" borderId="5" xfId="5" applyNumberFormat="1" applyFont="1" applyFill="1" applyBorder="1" applyAlignment="1">
      <alignment horizontal="left" indent="1"/>
    </xf>
    <xf numFmtId="49" fontId="8" fillId="4" borderId="13" xfId="5" applyNumberFormat="1" applyFont="1" applyFill="1" applyBorder="1" applyAlignment="1">
      <alignment horizontal="left" indent="1"/>
    </xf>
    <xf numFmtId="0" fontId="59" fillId="2" borderId="7" xfId="5" applyFont="1" applyFill="1" applyBorder="1" applyAlignment="1">
      <alignment horizontal="center" vertical="center" wrapText="1"/>
    </xf>
    <xf numFmtId="0" fontId="59" fillId="2" borderId="0" xfId="5" applyFont="1" applyFill="1" applyAlignment="1">
      <alignment horizontal="center" vertical="center" wrapText="1"/>
    </xf>
    <xf numFmtId="0" fontId="59" fillId="2" borderId="10" xfId="5" applyFont="1" applyFill="1" applyBorder="1" applyAlignment="1">
      <alignment horizontal="center" vertical="center" wrapText="1"/>
    </xf>
    <xf numFmtId="0" fontId="31" fillId="2" borderId="7" xfId="5" applyFont="1" applyFill="1" applyBorder="1" applyAlignment="1">
      <alignment horizontal="left" vertical="center" wrapText="1"/>
    </xf>
    <xf numFmtId="0" fontId="31" fillId="2" borderId="0" xfId="5" applyFont="1" applyFill="1" applyAlignment="1">
      <alignment horizontal="left" vertical="center" wrapText="1"/>
    </xf>
    <xf numFmtId="0" fontId="31" fillId="2" borderId="10" xfId="5" applyFont="1" applyFill="1" applyBorder="1" applyAlignment="1">
      <alignment horizontal="left" vertical="center" wrapText="1"/>
    </xf>
    <xf numFmtId="0" fontId="31" fillId="2" borderId="3" xfId="5" applyFont="1" applyFill="1" applyBorder="1" applyAlignment="1">
      <alignment horizontal="left" vertical="center" wrapText="1"/>
    </xf>
    <xf numFmtId="0" fontId="31" fillId="2" borderId="85" xfId="5" applyFont="1" applyFill="1" applyBorder="1" applyAlignment="1">
      <alignment horizontal="left" vertical="center" wrapText="1"/>
    </xf>
    <xf numFmtId="0" fontId="31" fillId="2" borderId="15" xfId="5" applyFont="1" applyFill="1" applyBorder="1" applyAlignment="1">
      <alignment horizontal="left" vertical="center" wrapText="1"/>
    </xf>
    <xf numFmtId="49" fontId="8" fillId="10" borderId="6" xfId="5" applyNumberFormat="1" applyFont="1" applyFill="1" applyBorder="1" applyAlignment="1">
      <alignment horizontal="left" indent="1"/>
    </xf>
    <xf numFmtId="49" fontId="8" fillId="10" borderId="5" xfId="5" applyNumberFormat="1" applyFont="1" applyFill="1" applyBorder="1" applyAlignment="1">
      <alignment horizontal="left" indent="1"/>
    </xf>
    <xf numFmtId="49" fontId="8" fillId="10" borderId="13" xfId="5" applyNumberFormat="1" applyFont="1" applyFill="1" applyBorder="1" applyAlignment="1">
      <alignment horizontal="left" indent="1"/>
    </xf>
    <xf numFmtId="0" fontId="32" fillId="12" borderId="1" xfId="5" applyFont="1" applyFill="1" applyBorder="1" applyAlignment="1">
      <alignment horizontal="center"/>
    </xf>
    <xf numFmtId="0" fontId="32" fillId="12" borderId="2" xfId="5" applyFont="1" applyFill="1" applyBorder="1" applyAlignment="1">
      <alignment horizontal="center"/>
    </xf>
    <xf numFmtId="49" fontId="78" fillId="10" borderId="6" xfId="51" applyNumberFormat="1" applyFill="1" applyBorder="1" applyAlignment="1">
      <alignment horizontal="left" indent="1"/>
    </xf>
    <xf numFmtId="0" fontId="32" fillId="12" borderId="2" xfId="5" applyFont="1" applyFill="1" applyBorder="1"/>
    <xf numFmtId="0" fontId="32" fillId="12" borderId="14" xfId="5" applyFont="1" applyFill="1" applyBorder="1"/>
    <xf numFmtId="0" fontId="31" fillId="2" borderId="7" xfId="5" applyFont="1" applyFill="1" applyBorder="1" applyAlignment="1">
      <alignment horizontal="center" vertical="center" wrapText="1"/>
    </xf>
    <xf numFmtId="0" fontId="2" fillId="2" borderId="0" xfId="5" applyFill="1" applyAlignment="1">
      <alignment horizontal="center" vertical="center" wrapText="1"/>
    </xf>
    <xf numFmtId="0" fontId="2" fillId="2" borderId="10" xfId="5" applyFill="1" applyBorder="1" applyAlignment="1">
      <alignment horizontal="center" vertical="center" wrapText="1"/>
    </xf>
    <xf numFmtId="0" fontId="31" fillId="2" borderId="0" xfId="5" applyFont="1" applyFill="1" applyAlignment="1">
      <alignment horizontal="center" vertical="center" wrapText="1"/>
    </xf>
    <xf numFmtId="0" fontId="31" fillId="2" borderId="10" xfId="5" applyFont="1" applyFill="1" applyBorder="1" applyAlignment="1">
      <alignment horizontal="center" vertical="center" wrapText="1"/>
    </xf>
    <xf numFmtId="0" fontId="32" fillId="12" borderId="14" xfId="5" applyFont="1" applyFill="1" applyBorder="1" applyAlignment="1">
      <alignment horizontal="center"/>
    </xf>
    <xf numFmtId="14" fontId="8" fillId="3" borderId="9" xfId="0" applyNumberFormat="1" applyFont="1" applyFill="1" applyBorder="1" applyAlignment="1" applyProtection="1">
      <alignment horizontal="right" indent="2"/>
      <protection locked="0"/>
    </xf>
    <xf numFmtId="0" fontId="74" fillId="0" borderId="0" xfId="0" applyFont="1" applyAlignment="1">
      <alignment horizontal="left" vertical="top" wrapText="1"/>
    </xf>
    <xf numFmtId="0" fontId="74" fillId="0" borderId="4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3" fillId="0" borderId="0" xfId="3" applyAlignment="1">
      <alignment horizontal="left"/>
    </xf>
    <xf numFmtId="0" fontId="13" fillId="0" borderId="9" xfId="0" applyFont="1" applyBorder="1" applyAlignment="1">
      <alignment horizontal="center"/>
    </xf>
    <xf numFmtId="2" fontId="2" fillId="0" borderId="6" xfId="0" applyNumberFormat="1" applyFont="1" applyBorder="1" applyAlignment="1">
      <alignment horizontal="right" indent="2"/>
    </xf>
    <xf numFmtId="2" fontId="2" fillId="0" borderId="13" xfId="0" applyNumberFormat="1" applyFont="1" applyBorder="1" applyAlignment="1">
      <alignment horizontal="right" indent="2"/>
    </xf>
    <xf numFmtId="168" fontId="59" fillId="0" borderId="6" xfId="0" applyNumberFormat="1" applyFont="1" applyBorder="1" applyAlignment="1">
      <alignment horizontal="right" indent="2"/>
    </xf>
    <xf numFmtId="168" fontId="59" fillId="0" borderId="13" xfId="0" applyNumberFormat="1" applyFont="1" applyBorder="1" applyAlignment="1">
      <alignment horizontal="right" indent="2"/>
    </xf>
    <xf numFmtId="2" fontId="59" fillId="0" borderId="6" xfId="0" applyNumberFormat="1" applyFont="1" applyBorder="1" applyAlignment="1">
      <alignment horizontal="right" indent="2"/>
    </xf>
    <xf numFmtId="2" fontId="59" fillId="0" borderId="13" xfId="0" applyNumberFormat="1" applyFont="1" applyBorder="1" applyAlignment="1">
      <alignment horizontal="right" indent="2"/>
    </xf>
    <xf numFmtId="0" fontId="59" fillId="0" borderId="6" xfId="0" applyFont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9" fontId="59" fillId="0" borderId="9" xfId="0" applyNumberFormat="1" applyFont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9" fontId="2" fillId="0" borderId="9" xfId="0" applyNumberFormat="1" applyFont="1" applyBorder="1" applyAlignment="1" applyProtection="1">
      <alignment horizontal="center"/>
      <protection locked="0"/>
    </xf>
    <xf numFmtId="0" fontId="13" fillId="0" borderId="36" xfId="0" applyFont="1" applyBorder="1" applyAlignment="1">
      <alignment horizontal="left" wrapText="1"/>
    </xf>
    <xf numFmtId="0" fontId="13" fillId="0" borderId="38" xfId="0" applyFont="1" applyBorder="1" applyAlignment="1">
      <alignment horizontal="left" wrapText="1"/>
    </xf>
    <xf numFmtId="0" fontId="13" fillId="0" borderId="39" xfId="0" applyFont="1" applyBorder="1" applyAlignment="1">
      <alignment horizontal="left" wrapText="1"/>
    </xf>
    <xf numFmtId="0" fontId="13" fillId="0" borderId="40" xfId="0" applyFont="1" applyBorder="1" applyAlignment="1">
      <alignment horizontal="left" wrapText="1"/>
    </xf>
    <xf numFmtId="0" fontId="13" fillId="0" borderId="41" xfId="0" applyFont="1" applyBorder="1" applyAlignment="1">
      <alignment horizontal="left" wrapText="1"/>
    </xf>
    <xf numFmtId="0" fontId="13" fillId="0" borderId="42" xfId="0" applyFont="1" applyBorder="1" applyAlignment="1">
      <alignment horizontal="left" wrapText="1"/>
    </xf>
    <xf numFmtId="0" fontId="8" fillId="3" borderId="33" xfId="0" applyFont="1" applyFill="1" applyBorder="1" applyAlignment="1" applyProtection="1">
      <alignment horizontal="left"/>
      <protection locked="0"/>
    </xf>
    <xf numFmtId="0" fontId="8" fillId="3" borderId="34" xfId="0" applyFont="1" applyFill="1" applyBorder="1" applyAlignment="1" applyProtection="1">
      <alignment horizontal="left"/>
      <protection locked="0"/>
    </xf>
    <xf numFmtId="0" fontId="8" fillId="3" borderId="35" xfId="0" applyFont="1" applyFill="1" applyBorder="1" applyAlignment="1" applyProtection="1">
      <alignment horizontal="left"/>
      <protection locked="0"/>
    </xf>
    <xf numFmtId="0" fontId="12" fillId="0" borderId="9" xfId="0" applyFont="1" applyBorder="1" applyAlignment="1">
      <alignment horizontal="center" wrapText="1"/>
    </xf>
    <xf numFmtId="169" fontId="8" fillId="3" borderId="9" xfId="0" applyNumberFormat="1" applyFont="1" applyFill="1" applyBorder="1" applyAlignment="1" applyProtection="1">
      <alignment horizontal="right" indent="2"/>
      <protection locked="0"/>
    </xf>
    <xf numFmtId="0" fontId="13" fillId="0" borderId="0" xfId="0" applyFont="1" applyAlignment="1">
      <alignment horizontal="left" wrapText="1"/>
    </xf>
    <xf numFmtId="0" fontId="19" fillId="0" borderId="9" xfId="0" applyFont="1" applyBorder="1" applyAlignment="1">
      <alignment horizontal="left"/>
    </xf>
    <xf numFmtId="0" fontId="2" fillId="0" borderId="9" xfId="3" applyFont="1" applyBorder="1" applyAlignment="1">
      <alignment horizontal="left"/>
    </xf>
    <xf numFmtId="0" fontId="13" fillId="0" borderId="29" xfId="0" applyFont="1" applyBorder="1" applyAlignment="1">
      <alignment horizontal="left" wrapText="1"/>
    </xf>
    <xf numFmtId="0" fontId="13" fillId="0" borderId="65" xfId="0" applyFont="1" applyBorder="1" applyAlignment="1">
      <alignment horizontal="left" wrapText="1"/>
    </xf>
    <xf numFmtId="0" fontId="13" fillId="0" borderId="30" xfId="0" applyFont="1" applyBorder="1" applyAlignment="1">
      <alignment horizontal="left" wrapText="1"/>
    </xf>
    <xf numFmtId="0" fontId="3" fillId="0" borderId="9" xfId="3" applyBorder="1" applyAlignment="1">
      <alignment horizontal="center"/>
    </xf>
    <xf numFmtId="0" fontId="2" fillId="0" borderId="6" xfId="3" applyFont="1" applyBorder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13" xfId="3" applyFont="1" applyBorder="1" applyAlignment="1">
      <alignment horizontal="left"/>
    </xf>
    <xf numFmtId="9" fontId="63" fillId="0" borderId="86" xfId="0" applyNumberFormat="1" applyFont="1" applyBorder="1" applyAlignment="1">
      <alignment horizontal="center"/>
    </xf>
    <xf numFmtId="9" fontId="63" fillId="0" borderId="0" xfId="0" applyNumberFormat="1" applyFont="1" applyAlignment="1">
      <alignment horizontal="center"/>
    </xf>
    <xf numFmtId="0" fontId="74" fillId="0" borderId="0" xfId="0" applyFont="1" applyAlignment="1">
      <alignment horizontal="center"/>
    </xf>
    <xf numFmtId="0" fontId="3" fillId="0" borderId="9" xfId="3" applyBorder="1" applyAlignment="1">
      <alignment horizontal="left"/>
    </xf>
    <xf numFmtId="0" fontId="4" fillId="2" borderId="9" xfId="3" applyFont="1" applyFill="1" applyBorder="1" applyAlignment="1">
      <alignment horizontal="center"/>
    </xf>
    <xf numFmtId="164" fontId="4" fillId="0" borderId="6" xfId="3" applyNumberFormat="1" applyFont="1" applyBorder="1" applyProtection="1">
      <protection locked="0"/>
    </xf>
    <xf numFmtId="0" fontId="18" fillId="0" borderId="5" xfId="0" applyFont="1" applyBorder="1" applyProtection="1">
      <protection locked="0"/>
    </xf>
    <xf numFmtId="0" fontId="18" fillId="0" borderId="13" xfId="0" applyFont="1" applyBorder="1" applyProtection="1">
      <protection locked="0"/>
    </xf>
    <xf numFmtId="1" fontId="4" fillId="5" borderId="6" xfId="3" applyNumberFormat="1" applyFont="1" applyFill="1" applyBorder="1" applyAlignment="1" applyProtection="1">
      <alignment horizontal="left"/>
      <protection locked="0"/>
    </xf>
    <xf numFmtId="1" fontId="4" fillId="5" borderId="5" xfId="3" applyNumberFormat="1" applyFont="1" applyFill="1" applyBorder="1" applyAlignment="1" applyProtection="1">
      <alignment horizontal="left"/>
      <protection locked="0"/>
    </xf>
    <xf numFmtId="1" fontId="4" fillId="5" borderId="13" xfId="3" applyNumberFormat="1" applyFont="1" applyFill="1" applyBorder="1" applyAlignment="1" applyProtection="1">
      <alignment horizontal="left"/>
      <protection locked="0"/>
    </xf>
    <xf numFmtId="0" fontId="4" fillId="2" borderId="6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13" xfId="3" applyFont="1" applyFill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0" fillId="0" borderId="0" xfId="0"/>
    <xf numFmtId="0" fontId="5" fillId="2" borderId="1" xfId="3" applyFont="1" applyFill="1" applyBorder="1" applyAlignment="1">
      <alignment horizontal="left" vertical="center"/>
    </xf>
    <xf numFmtId="0" fontId="5" fillId="2" borderId="14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15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77" fillId="0" borderId="0" xfId="0" applyFont="1" applyAlignment="1">
      <alignment horizontal="left" vertical="top" wrapText="1"/>
    </xf>
    <xf numFmtId="0" fontId="5" fillId="2" borderId="7" xfId="3" applyFont="1" applyFill="1" applyBorder="1" applyAlignment="1">
      <alignment horizontal="center"/>
    </xf>
    <xf numFmtId="0" fontId="0" fillId="0" borderId="10" xfId="0" applyBorder="1"/>
    <xf numFmtId="168" fontId="4" fillId="0" borderId="9" xfId="3" applyNumberFormat="1" applyFont="1" applyBorder="1"/>
    <xf numFmtId="0" fontId="18" fillId="0" borderId="9" xfId="0" applyFont="1" applyBorder="1"/>
    <xf numFmtId="168" fontId="4" fillId="0" borderId="8" xfId="3" applyNumberFormat="1" applyFont="1" applyBorder="1"/>
    <xf numFmtId="0" fontId="18" fillId="0" borderId="16" xfId="0" applyFont="1" applyBorder="1"/>
    <xf numFmtId="0" fontId="4" fillId="2" borderId="9" xfId="3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4" fillId="2" borderId="9" xfId="3" applyFont="1" applyFill="1" applyBorder="1" applyAlignment="1">
      <alignment vertical="center"/>
    </xf>
    <xf numFmtId="0" fontId="4" fillId="2" borderId="16" xfId="3" applyFont="1" applyFill="1" applyBorder="1" applyAlignment="1">
      <alignment horizontal="left" vertical="center"/>
    </xf>
    <xf numFmtId="0" fontId="4" fillId="2" borderId="17" xfId="3" applyFont="1" applyFill="1" applyBorder="1" applyAlignment="1">
      <alignment horizontal="left" vertical="center"/>
    </xf>
    <xf numFmtId="0" fontId="4" fillId="2" borderId="8" xfId="3" applyFont="1" applyFill="1" applyBorder="1" applyAlignment="1">
      <alignment horizontal="left" vertical="center"/>
    </xf>
    <xf numFmtId="0" fontId="4" fillId="2" borderId="14" xfId="3" applyFont="1" applyFill="1" applyBorder="1" applyAlignment="1">
      <alignment horizontal="left" vertical="center" wrapText="1"/>
    </xf>
    <xf numFmtId="0" fontId="4" fillId="2" borderId="15" xfId="3" applyFont="1" applyFill="1" applyBorder="1" applyAlignment="1">
      <alignment horizontal="left" vertical="center" wrapText="1"/>
    </xf>
    <xf numFmtId="168" fontId="4" fillId="0" borderId="16" xfId="3" applyNumberFormat="1" applyFont="1" applyBorder="1" applyAlignment="1">
      <alignment horizontal="right"/>
    </xf>
    <xf numFmtId="168" fontId="4" fillId="0" borderId="17" xfId="3" applyNumberFormat="1" applyFont="1" applyBorder="1" applyAlignment="1">
      <alignment horizontal="right"/>
    </xf>
    <xf numFmtId="0" fontId="4" fillId="2" borderId="1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71" fillId="0" borderId="0" xfId="3" applyFont="1" applyAlignment="1" applyProtection="1">
      <alignment horizontal="left"/>
      <protection locked="0"/>
    </xf>
    <xf numFmtId="49" fontId="4" fillId="2" borderId="16" xfId="3" applyNumberFormat="1" applyFont="1" applyFill="1" applyBorder="1" applyAlignment="1">
      <alignment horizontal="center" vertical="center" wrapText="1"/>
    </xf>
    <xf numFmtId="49" fontId="4" fillId="2" borderId="8" xfId="3" applyNumberFormat="1" applyFont="1" applyFill="1" applyBorder="1" applyAlignment="1">
      <alignment horizontal="center" vertical="center" wrapText="1"/>
    </xf>
    <xf numFmtId="49" fontId="4" fillId="2" borderId="16" xfId="3" applyNumberFormat="1" applyFont="1" applyFill="1" applyBorder="1" applyAlignment="1">
      <alignment horizontal="center" vertical="center"/>
    </xf>
    <xf numFmtId="49" fontId="4" fillId="2" borderId="8" xfId="3" applyNumberFormat="1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left" vertical="center"/>
    </xf>
    <xf numFmtId="0" fontId="4" fillId="2" borderId="15" xfId="3" applyFont="1" applyFill="1" applyBorder="1" applyAlignment="1">
      <alignment horizontal="left" vertical="center"/>
    </xf>
    <xf numFmtId="0" fontId="4" fillId="0" borderId="9" xfId="3" applyFont="1" applyBorder="1" applyAlignment="1" applyProtection="1">
      <alignment horizontal="left"/>
      <protection locked="0"/>
    </xf>
    <xf numFmtId="168" fontId="4" fillId="0" borderId="16" xfId="3" applyNumberFormat="1" applyFont="1" applyBorder="1"/>
    <xf numFmtId="0" fontId="18" fillId="0" borderId="8" xfId="0" applyFont="1" applyBorder="1"/>
    <xf numFmtId="0" fontId="4" fillId="2" borderId="13" xfId="3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4" fillId="2" borderId="1" xfId="3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2" borderId="16" xfId="3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6" xfId="3" applyFont="1" applyFill="1" applyBorder="1" applyAlignment="1">
      <alignment vertical="center"/>
    </xf>
    <xf numFmtId="0" fontId="0" fillId="0" borderId="6" xfId="0" applyBorder="1" applyAlignment="1">
      <alignment vertical="center"/>
    </xf>
    <xf numFmtId="170" fontId="4" fillId="0" borderId="6" xfId="3" applyNumberFormat="1" applyFont="1" applyBorder="1" applyAlignment="1">
      <alignment horizontal="center"/>
    </xf>
    <xf numFmtId="170" fontId="4" fillId="0" borderId="5" xfId="3" applyNumberFormat="1" applyFont="1" applyBorder="1" applyAlignment="1">
      <alignment horizontal="center"/>
    </xf>
    <xf numFmtId="170" fontId="4" fillId="0" borderId="13" xfId="3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4" fillId="0" borderId="6" xfId="3" applyFont="1" applyBorder="1" applyAlignment="1" applyProtection="1">
      <alignment horizontal="left"/>
      <protection locked="0"/>
    </xf>
    <xf numFmtId="0" fontId="4" fillId="0" borderId="5" xfId="3" applyFont="1" applyBorder="1" applyAlignment="1" applyProtection="1">
      <alignment horizontal="left"/>
      <protection locked="0"/>
    </xf>
    <xf numFmtId="0" fontId="71" fillId="0" borderId="6" xfId="0" applyFont="1" applyBorder="1" applyAlignment="1">
      <alignment horizontal="center"/>
    </xf>
    <xf numFmtId="0" fontId="71" fillId="0" borderId="5" xfId="0" applyFont="1" applyBorder="1" applyAlignment="1">
      <alignment horizontal="center"/>
    </xf>
    <xf numFmtId="0" fontId="71" fillId="0" borderId="13" xfId="0" applyFont="1" applyBorder="1" applyAlignment="1">
      <alignment horizontal="center"/>
    </xf>
    <xf numFmtId="0" fontId="4" fillId="0" borderId="16" xfId="3" applyFont="1" applyBorder="1" applyAlignment="1" applyProtection="1">
      <alignment horizontal="left"/>
      <protection locked="0"/>
    </xf>
    <xf numFmtId="0" fontId="4" fillId="2" borderId="1" xfId="3" applyFont="1" applyFill="1" applyBorder="1" applyAlignment="1">
      <alignment horizontal="left" vertical="center" wrapText="1"/>
    </xf>
    <xf numFmtId="164" fontId="5" fillId="0" borderId="59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4" fontId="5" fillId="0" borderId="60" xfId="3" applyNumberFormat="1" applyFont="1" applyBorder="1" applyAlignment="1">
      <alignment horizontal="center"/>
    </xf>
    <xf numFmtId="164" fontId="5" fillId="0" borderId="85" xfId="3" applyNumberFormat="1" applyFont="1" applyBorder="1" applyAlignment="1">
      <alignment horizontal="center"/>
    </xf>
    <xf numFmtId="164" fontId="5" fillId="0" borderId="22" xfId="3" applyNumberFormat="1" applyFont="1" applyBorder="1" applyAlignment="1">
      <alignment horizontal="center"/>
    </xf>
    <xf numFmtId="164" fontId="5" fillId="0" borderId="5" xfId="3" applyNumberFormat="1" applyFont="1" applyBorder="1" applyAlignment="1">
      <alignment horizontal="center"/>
    </xf>
    <xf numFmtId="0" fontId="4" fillId="0" borderId="60" xfId="3" applyFont="1" applyBorder="1" applyAlignment="1">
      <alignment horizontal="center"/>
    </xf>
    <xf numFmtId="0" fontId="4" fillId="0" borderId="85" xfId="3" applyFont="1" applyBorder="1" applyAlignment="1">
      <alignment horizontal="center"/>
    </xf>
    <xf numFmtId="0" fontId="4" fillId="0" borderId="57" xfId="3" applyFont="1" applyBorder="1" applyAlignment="1">
      <alignment horizontal="center"/>
    </xf>
    <xf numFmtId="0" fontId="53" fillId="0" borderId="54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71" fillId="0" borderId="6" xfId="3" applyFont="1" applyBorder="1" applyAlignment="1" applyProtection="1">
      <alignment horizontal="center"/>
      <protection locked="0"/>
    </xf>
    <xf numFmtId="0" fontId="71" fillId="0" borderId="5" xfId="3" applyFont="1" applyBorder="1" applyAlignment="1" applyProtection="1">
      <alignment horizontal="center"/>
      <protection locked="0"/>
    </xf>
    <xf numFmtId="0" fontId="71" fillId="0" borderId="13" xfId="3" applyFont="1" applyBorder="1" applyAlignment="1" applyProtection="1">
      <alignment horizontal="center"/>
      <protection locked="0"/>
    </xf>
    <xf numFmtId="0" fontId="4" fillId="0" borderId="6" xfId="3" applyFont="1" applyBorder="1" applyAlignment="1">
      <alignment horizontal="left"/>
    </xf>
    <xf numFmtId="0" fontId="4" fillId="0" borderId="5" xfId="3" applyFont="1" applyBorder="1" applyAlignment="1">
      <alignment horizontal="left"/>
    </xf>
    <xf numFmtId="0" fontId="4" fillId="0" borderId="13" xfId="3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3" xfId="3" applyFont="1" applyBorder="1" applyAlignment="1" applyProtection="1">
      <alignment horizontal="left"/>
      <protection locked="0"/>
    </xf>
    <xf numFmtId="164" fontId="5" fillId="0" borderId="80" xfId="3" applyNumberFormat="1" applyFont="1" applyBorder="1" applyAlignment="1">
      <alignment horizontal="center"/>
    </xf>
    <xf numFmtId="0" fontId="5" fillId="0" borderId="18" xfId="3" applyFont="1" applyBorder="1" applyAlignment="1">
      <alignment horizontal="center" wrapText="1"/>
    </xf>
    <xf numFmtId="0" fontId="5" fillId="0" borderId="49" xfId="3" applyFont="1" applyBorder="1" applyAlignment="1">
      <alignment horizontal="center" wrapText="1"/>
    </xf>
    <xf numFmtId="0" fontId="4" fillId="0" borderId="16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49" xfId="3" applyFont="1" applyBorder="1" applyAlignment="1">
      <alignment horizontal="center" vertical="center"/>
    </xf>
    <xf numFmtId="0" fontId="76" fillId="0" borderId="6" xfId="3" applyFont="1" applyBorder="1" applyAlignment="1" applyProtection="1">
      <alignment horizontal="left"/>
      <protection locked="0"/>
    </xf>
    <xf numFmtId="0" fontId="76" fillId="0" borderId="5" xfId="3" applyFont="1" applyBorder="1" applyAlignment="1" applyProtection="1">
      <alignment horizontal="left"/>
      <protection locked="0"/>
    </xf>
    <xf numFmtId="0" fontId="71" fillId="0" borderId="9" xfId="3" applyFont="1" applyBorder="1" applyAlignment="1" applyProtection="1">
      <alignment horizontal="center"/>
      <protection locked="0"/>
    </xf>
    <xf numFmtId="168" fontId="10" fillId="47" borderId="6" xfId="3" applyNumberFormat="1" applyFont="1" applyFill="1" applyBorder="1" applyAlignment="1" applyProtection="1">
      <alignment horizontal="right"/>
      <protection locked="0"/>
    </xf>
    <xf numFmtId="168" fontId="10" fillId="47" borderId="5" xfId="3" applyNumberFormat="1" applyFont="1" applyFill="1" applyBorder="1" applyAlignment="1" applyProtection="1">
      <alignment horizontal="right"/>
      <protection locked="0"/>
    </xf>
    <xf numFmtId="0" fontId="5" fillId="0" borderId="54" xfId="3" applyFont="1" applyBorder="1" applyAlignment="1">
      <alignment horizontal="center" vertical="center"/>
    </xf>
    <xf numFmtId="0" fontId="5" fillId="0" borderId="55" xfId="3" applyFont="1" applyBorder="1" applyAlignment="1">
      <alignment horizontal="center" vertical="center"/>
    </xf>
    <xf numFmtId="0" fontId="57" fillId="0" borderId="56" xfId="0" applyFont="1" applyBorder="1" applyAlignment="1">
      <alignment horizontal="right" vertical="center" wrapText="1"/>
    </xf>
    <xf numFmtId="0" fontId="57" fillId="0" borderId="57" xfId="0" applyFont="1" applyBorder="1" applyAlignment="1">
      <alignment horizontal="right" vertical="center" wrapText="1"/>
    </xf>
    <xf numFmtId="9" fontId="5" fillId="0" borderId="22" xfId="3" applyNumberFormat="1" applyFont="1" applyBorder="1" applyAlignment="1">
      <alignment horizontal="center"/>
    </xf>
    <xf numFmtId="9" fontId="5" fillId="0" borderId="5" xfId="3" applyNumberFormat="1" applyFont="1" applyBorder="1" applyAlignment="1">
      <alignment horizontal="center"/>
    </xf>
    <xf numFmtId="9" fontId="5" fillId="0" borderId="80" xfId="3" applyNumberFormat="1" applyFont="1" applyBorder="1" applyAlignment="1">
      <alignment horizontal="center"/>
    </xf>
    <xf numFmtId="0" fontId="60" fillId="4" borderId="58" xfId="0" applyFont="1" applyFill="1" applyBorder="1" applyAlignment="1" applyProtection="1">
      <alignment horizontal="center"/>
      <protection locked="0"/>
    </xf>
    <xf numFmtId="0" fontId="60" fillId="4" borderId="2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76" xfId="3" applyFont="1" applyBorder="1" applyAlignment="1">
      <alignment horizontal="center" vertical="center"/>
    </xf>
    <xf numFmtId="0" fontId="5" fillId="0" borderId="77" xfId="3" applyFont="1" applyBorder="1" applyAlignment="1">
      <alignment horizontal="center" vertical="center"/>
    </xf>
    <xf numFmtId="0" fontId="4" fillId="0" borderId="82" xfId="3" applyFont="1" applyBorder="1" applyAlignment="1">
      <alignment horizontal="center" vertical="center" wrapText="1"/>
    </xf>
    <xf numFmtId="0" fontId="4" fillId="0" borderId="83" xfId="3" applyFont="1" applyBorder="1" applyAlignment="1">
      <alignment horizontal="center" vertical="center" wrapText="1"/>
    </xf>
    <xf numFmtId="0" fontId="4" fillId="0" borderId="63" xfId="3" applyFont="1" applyBorder="1" applyAlignment="1">
      <alignment horizontal="center" vertical="center" wrapText="1"/>
    </xf>
    <xf numFmtId="0" fontId="4" fillId="0" borderId="62" xfId="3" applyFont="1" applyBorder="1" applyAlignment="1">
      <alignment horizontal="center" vertical="center" wrapText="1"/>
    </xf>
    <xf numFmtId="0" fontId="5" fillId="0" borderId="60" xfId="3" applyFont="1" applyBorder="1" applyAlignment="1">
      <alignment horizontal="center" vertical="center"/>
    </xf>
    <xf numFmtId="0" fontId="5" fillId="0" borderId="57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 wrapText="1"/>
    </xf>
    <xf numFmtId="0" fontId="4" fillId="0" borderId="26" xfId="3" applyFont="1" applyBorder="1" applyAlignment="1">
      <alignment horizontal="center" vertical="center" wrapText="1"/>
    </xf>
    <xf numFmtId="0" fontId="5" fillId="0" borderId="87" xfId="3" applyFont="1" applyBorder="1" applyAlignment="1">
      <alignment horizontal="center" vertical="center" wrapText="1"/>
    </xf>
    <xf numFmtId="0" fontId="5" fillId="0" borderId="55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3" fillId="0" borderId="87" xfId="0" applyFont="1" applyBorder="1" applyAlignment="1">
      <alignment horizontal="center" vertical="center"/>
    </xf>
    <xf numFmtId="0" fontId="4" fillId="0" borderId="63" xfId="3" applyFont="1" applyBorder="1" applyAlignment="1">
      <alignment horizontal="center" wrapText="1"/>
    </xf>
    <xf numFmtId="0" fontId="4" fillId="0" borderId="62" xfId="3" applyFont="1" applyBorder="1" applyAlignment="1">
      <alignment horizontal="center" wrapText="1"/>
    </xf>
    <xf numFmtId="0" fontId="5" fillId="0" borderId="18" xfId="3" applyFont="1" applyBorder="1" applyAlignment="1">
      <alignment horizontal="center"/>
    </xf>
    <xf numFmtId="0" fontId="5" fillId="0" borderId="49" xfId="3" applyFont="1" applyBorder="1" applyAlignment="1">
      <alignment horizontal="center"/>
    </xf>
    <xf numFmtId="0" fontId="4" fillId="0" borderId="54" xfId="3" applyFont="1" applyBorder="1" applyAlignment="1">
      <alignment horizontal="center" vertical="center" wrapText="1"/>
    </xf>
    <xf numFmtId="0" fontId="4" fillId="0" borderId="55" xfId="3" applyFont="1" applyBorder="1" applyAlignment="1">
      <alignment horizontal="center" vertical="center" wrapText="1"/>
    </xf>
    <xf numFmtId="0" fontId="4" fillId="0" borderId="60" xfId="3" applyFont="1" applyBorder="1" applyAlignment="1">
      <alignment horizontal="center" vertical="center" wrapText="1"/>
    </xf>
    <xf numFmtId="0" fontId="4" fillId="0" borderId="57" xfId="3" applyFont="1" applyBorder="1" applyAlignment="1">
      <alignment horizontal="center" vertical="center" wrapText="1"/>
    </xf>
    <xf numFmtId="0" fontId="65" fillId="0" borderId="6" xfId="0" applyFont="1" applyBorder="1" applyAlignment="1">
      <alignment horizontal="right"/>
    </xf>
    <xf numFmtId="0" fontId="65" fillId="0" borderId="5" xfId="0" applyFont="1" applyBorder="1" applyAlignment="1">
      <alignment horizontal="right"/>
    </xf>
    <xf numFmtId="0" fontId="65" fillId="0" borderId="13" xfId="0" applyFont="1" applyBorder="1" applyAlignment="1">
      <alignment horizontal="right"/>
    </xf>
    <xf numFmtId="0" fontId="4" fillId="0" borderId="2" xfId="3" applyFont="1" applyBorder="1" applyAlignment="1" applyProtection="1">
      <alignment horizontal="center" wrapText="1"/>
      <protection locked="0"/>
    </xf>
    <xf numFmtId="0" fontId="4" fillId="0" borderId="4" xfId="3" applyFont="1" applyBorder="1" applyAlignment="1" applyProtection="1">
      <alignment horizontal="center" wrapText="1"/>
      <protection locked="0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top"/>
    </xf>
    <xf numFmtId="0" fontId="54" fillId="0" borderId="77" xfId="0" applyFont="1" applyBorder="1" applyAlignment="1">
      <alignment horizontal="left" vertical="top"/>
    </xf>
    <xf numFmtId="164" fontId="10" fillId="3" borderId="5" xfId="3" applyNumberFormat="1" applyFont="1" applyFill="1" applyBorder="1" applyAlignment="1" applyProtection="1">
      <alignment horizontal="left"/>
      <protection locked="0"/>
    </xf>
    <xf numFmtId="164" fontId="10" fillId="3" borderId="13" xfId="3" applyNumberFormat="1" applyFont="1" applyFill="1" applyBorder="1" applyAlignment="1" applyProtection="1">
      <alignment horizontal="left"/>
      <protection locked="0"/>
    </xf>
    <xf numFmtId="164" fontId="5" fillId="0" borderId="5" xfId="3" applyNumberFormat="1" applyFont="1" applyBorder="1" applyAlignment="1">
      <alignment horizontal="left"/>
    </xf>
    <xf numFmtId="164" fontId="5" fillId="0" borderId="13" xfId="3" applyNumberFormat="1" applyFont="1" applyBorder="1" applyAlignment="1">
      <alignment horizontal="left"/>
    </xf>
    <xf numFmtId="0" fontId="4" fillId="0" borderId="52" xfId="3" applyFont="1" applyBorder="1" applyAlignment="1">
      <alignment horizontal="center" wrapText="1"/>
    </xf>
    <xf numFmtId="0" fontId="4" fillId="0" borderId="61" xfId="3" applyFont="1" applyBorder="1" applyAlignment="1">
      <alignment horizontal="center" wrapText="1"/>
    </xf>
    <xf numFmtId="164" fontId="5" fillId="0" borderId="76" xfId="3" applyNumberFormat="1" applyFont="1" applyBorder="1" applyAlignment="1">
      <alignment horizontal="center"/>
    </xf>
    <xf numFmtId="164" fontId="5" fillId="0" borderId="0" xfId="3" applyNumberFormat="1" applyFont="1" applyAlignment="1">
      <alignment horizontal="center"/>
    </xf>
    <xf numFmtId="164" fontId="5" fillId="0" borderId="77" xfId="3" applyNumberFormat="1" applyFont="1" applyBorder="1" applyAlignment="1">
      <alignment horizontal="center"/>
    </xf>
    <xf numFmtId="164" fontId="5" fillId="0" borderId="57" xfId="3" applyNumberFormat="1" applyFont="1" applyBorder="1" applyAlignment="1">
      <alignment horizontal="center"/>
    </xf>
    <xf numFmtId="0" fontId="4" fillId="0" borderId="17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 wrapText="1"/>
    </xf>
    <xf numFmtId="0" fontId="5" fillId="0" borderId="49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49" fontId="4" fillId="0" borderId="0" xfId="3" applyNumberFormat="1" applyFont="1" applyAlignment="1">
      <alignment horizontal="left"/>
    </xf>
    <xf numFmtId="0" fontId="4" fillId="0" borderId="52" xfId="3" applyFont="1" applyBorder="1" applyAlignment="1">
      <alignment horizontal="center" vertical="center" wrapText="1"/>
    </xf>
    <xf numFmtId="0" fontId="4" fillId="0" borderId="61" xfId="3" applyFont="1" applyBorder="1" applyAlignment="1">
      <alignment horizontal="center" vertical="center" wrapText="1"/>
    </xf>
    <xf numFmtId="0" fontId="5" fillId="0" borderId="54" xfId="3" applyFont="1" applyBorder="1" applyAlignment="1">
      <alignment horizontal="center" vertical="center" wrapText="1"/>
    </xf>
    <xf numFmtId="0" fontId="5" fillId="0" borderId="76" xfId="3" applyFont="1" applyBorder="1" applyAlignment="1">
      <alignment horizontal="center" vertical="center" wrapText="1"/>
    </xf>
    <xf numFmtId="0" fontId="5" fillId="0" borderId="77" xfId="3" applyFont="1" applyBorder="1" applyAlignment="1">
      <alignment horizontal="center" vertical="center" wrapText="1"/>
    </xf>
    <xf numFmtId="164" fontId="4" fillId="0" borderId="9" xfId="3" applyNumberFormat="1" applyFont="1" applyBorder="1" applyAlignment="1">
      <alignment horizontal="right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4" fillId="0" borderId="51" xfId="3" applyFont="1" applyBorder="1" applyAlignment="1" applyProtection="1">
      <alignment horizontal="center" wrapText="1"/>
      <protection locked="0"/>
    </xf>
    <xf numFmtId="0" fontId="4" fillId="0" borderId="25" xfId="3" applyFont="1" applyBorder="1" applyAlignment="1" applyProtection="1">
      <alignment horizontal="center" wrapText="1"/>
      <protection locked="0"/>
    </xf>
    <xf numFmtId="0" fontId="4" fillId="0" borderId="79" xfId="3" applyFont="1" applyBorder="1" applyAlignment="1" applyProtection="1">
      <alignment horizontal="center" wrapText="1"/>
      <protection locked="0"/>
    </xf>
    <xf numFmtId="0" fontId="4" fillId="0" borderId="62" xfId="3" applyFont="1" applyBorder="1" applyAlignment="1" applyProtection="1">
      <alignment horizontal="center" wrapText="1"/>
      <protection locked="0"/>
    </xf>
    <xf numFmtId="10" fontId="4" fillId="0" borderId="79" xfId="3" applyNumberFormat="1" applyFont="1" applyBorder="1" applyAlignment="1" applyProtection="1">
      <alignment horizontal="center" wrapText="1"/>
      <protection locked="0"/>
    </xf>
    <xf numFmtId="10" fontId="4" fillId="0" borderId="62" xfId="3" applyNumberFormat="1" applyFont="1" applyBorder="1" applyAlignment="1" applyProtection="1">
      <alignment horizontal="center" wrapText="1"/>
      <protection locked="0"/>
    </xf>
    <xf numFmtId="0" fontId="4" fillId="0" borderId="52" xfId="3" applyFont="1" applyBorder="1" applyAlignment="1" applyProtection="1">
      <alignment horizontal="center" wrapText="1"/>
      <protection locked="0"/>
    </xf>
    <xf numFmtId="0" fontId="4" fillId="0" borderId="26" xfId="3" applyFont="1" applyBorder="1" applyAlignment="1" applyProtection="1">
      <alignment horizontal="center" wrapText="1"/>
      <protection locked="0"/>
    </xf>
    <xf numFmtId="0" fontId="4" fillId="0" borderId="59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76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85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right"/>
    </xf>
    <xf numFmtId="164" fontId="5" fillId="0" borderId="5" xfId="3" applyNumberFormat="1" applyFont="1" applyBorder="1" applyAlignment="1">
      <alignment horizontal="right"/>
    </xf>
    <xf numFmtId="164" fontId="5" fillId="0" borderId="13" xfId="3" applyNumberFormat="1" applyFont="1" applyBorder="1" applyAlignment="1">
      <alignment horizontal="right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72" fillId="0" borderId="0" xfId="0" applyFont="1" applyAlignment="1">
      <alignment horizontal="center"/>
    </xf>
    <xf numFmtId="49" fontId="4" fillId="2" borderId="16" xfId="3" applyNumberFormat="1" applyFont="1" applyFill="1" applyBorder="1" applyAlignment="1">
      <alignment horizontal="left" vertical="center"/>
    </xf>
    <xf numFmtId="49" fontId="4" fillId="2" borderId="17" xfId="3" applyNumberFormat="1" applyFont="1" applyFill="1" applyBorder="1" applyAlignment="1">
      <alignment horizontal="left" vertical="center"/>
    </xf>
    <xf numFmtId="49" fontId="4" fillId="2" borderId="8" xfId="3" applyNumberFormat="1" applyFont="1" applyFill="1" applyBorder="1" applyAlignment="1">
      <alignment horizontal="left" vertical="center"/>
    </xf>
    <xf numFmtId="0" fontId="4" fillId="2" borderId="9" xfId="3" applyFont="1" applyFill="1" applyBorder="1" applyAlignment="1">
      <alignment horizontal="left"/>
    </xf>
    <xf numFmtId="164" fontId="10" fillId="4" borderId="6" xfId="3" applyNumberFormat="1" applyFont="1" applyFill="1" applyBorder="1" applyAlignment="1" applyProtection="1">
      <alignment horizontal="right" indent="1"/>
      <protection locked="0"/>
    </xf>
    <xf numFmtId="164" fontId="10" fillId="4" borderId="5" xfId="3" applyNumberFormat="1" applyFont="1" applyFill="1" applyBorder="1" applyAlignment="1" applyProtection="1">
      <alignment horizontal="right" indent="1"/>
      <protection locked="0"/>
    </xf>
    <xf numFmtId="164" fontId="10" fillId="4" borderId="9" xfId="3" applyNumberFormat="1" applyFont="1" applyFill="1" applyBorder="1" applyAlignment="1" applyProtection="1">
      <alignment horizontal="right" indent="1"/>
      <protection locked="0"/>
    </xf>
    <xf numFmtId="0" fontId="70" fillId="4" borderId="6" xfId="0" applyFont="1" applyFill="1" applyBorder="1" applyProtection="1">
      <protection locked="0"/>
    </xf>
    <xf numFmtId="0" fontId="70" fillId="4" borderId="5" xfId="0" applyFont="1" applyFill="1" applyBorder="1" applyProtection="1">
      <protection locked="0"/>
    </xf>
    <xf numFmtId="0" fontId="70" fillId="4" borderId="13" xfId="0" applyFont="1" applyFill="1" applyBorder="1" applyProtection="1">
      <protection locked="0"/>
    </xf>
    <xf numFmtId="0" fontId="73" fillId="0" borderId="6" xfId="0" applyFont="1" applyBorder="1"/>
    <xf numFmtId="0" fontId="73" fillId="0" borderId="5" xfId="0" applyFont="1" applyBorder="1"/>
    <xf numFmtId="0" fontId="73" fillId="0" borderId="13" xfId="0" applyFont="1" applyBorder="1"/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73" fillId="0" borderId="9" xfId="0" applyFont="1" applyBorder="1" applyAlignment="1">
      <alignment horizontal="left"/>
    </xf>
    <xf numFmtId="0" fontId="4" fillId="2" borderId="17" xfId="3" applyFont="1" applyFill="1" applyBorder="1" applyAlignment="1">
      <alignment vertical="center"/>
    </xf>
    <xf numFmtId="0" fontId="4" fillId="2" borderId="8" xfId="3" applyFont="1" applyFill="1" applyBorder="1" applyAlignment="1">
      <alignment vertical="center"/>
    </xf>
    <xf numFmtId="0" fontId="4" fillId="2" borderId="8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64" fontId="4" fillId="0" borderId="6" xfId="3" applyNumberFormat="1" applyFont="1" applyBorder="1"/>
    <xf numFmtId="0" fontId="18" fillId="0" borderId="5" xfId="0" applyFont="1" applyBorder="1"/>
    <xf numFmtId="0" fontId="18" fillId="0" borderId="13" xfId="0" applyFont="1" applyBorder="1"/>
    <xf numFmtId="0" fontId="5" fillId="2" borderId="6" xfId="3" applyFont="1" applyFill="1" applyBorder="1" applyAlignment="1">
      <alignment horizontal="center"/>
    </xf>
    <xf numFmtId="0" fontId="5" fillId="2" borderId="13" xfId="3" applyFont="1" applyFill="1" applyBorder="1" applyAlignment="1">
      <alignment horizontal="center"/>
    </xf>
    <xf numFmtId="0" fontId="70" fillId="4" borderId="6" xfId="0" applyFont="1" applyFill="1" applyBorder="1"/>
    <xf numFmtId="0" fontId="70" fillId="4" borderId="5" xfId="0" applyFont="1" applyFill="1" applyBorder="1"/>
    <xf numFmtId="0" fontId="70" fillId="4" borderId="13" xfId="0" applyFont="1" applyFill="1" applyBorder="1"/>
    <xf numFmtId="164" fontId="4" fillId="0" borderId="9" xfId="3" applyNumberFormat="1" applyFont="1" applyBorder="1"/>
    <xf numFmtId="0" fontId="1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0" fontId="5" fillId="0" borderId="16" xfId="3" applyNumberFormat="1" applyFont="1" applyBorder="1" applyAlignment="1">
      <alignment horizontal="right"/>
    </xf>
    <xf numFmtId="170" fontId="5" fillId="0" borderId="8" xfId="3" applyNumberFormat="1" applyFont="1" applyBorder="1" applyAlignment="1">
      <alignment horizontal="right"/>
    </xf>
    <xf numFmtId="170" fontId="4" fillId="0" borderId="16" xfId="3" applyNumberFormat="1" applyFont="1" applyBorder="1" applyAlignment="1">
      <alignment horizontal="right"/>
    </xf>
    <xf numFmtId="170" fontId="4" fillId="0" borderId="8" xfId="3" applyNumberFormat="1" applyFont="1" applyBorder="1" applyAlignment="1">
      <alignment horizontal="right"/>
    </xf>
    <xf numFmtId="0" fontId="20" fillId="0" borderId="1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49" fontId="4" fillId="2" borderId="9" xfId="3" applyNumberFormat="1" applyFont="1" applyFill="1" applyBorder="1" applyAlignment="1">
      <alignment horizontal="left" vertical="center"/>
    </xf>
    <xf numFmtId="0" fontId="4" fillId="2" borderId="9" xfId="3" applyFont="1" applyFill="1" applyBorder="1" applyAlignment="1">
      <alignment horizontal="left" vertical="center"/>
    </xf>
    <xf numFmtId="164" fontId="4" fillId="0" borderId="6" xfId="3" applyNumberFormat="1" applyFont="1" applyBorder="1" applyAlignment="1">
      <alignment horizontal="right" indent="1"/>
    </xf>
    <xf numFmtId="164" fontId="4" fillId="0" borderId="5" xfId="3" applyNumberFormat="1" applyFont="1" applyBorder="1" applyAlignment="1">
      <alignment horizontal="right" indent="1"/>
    </xf>
    <xf numFmtId="164" fontId="4" fillId="0" borderId="9" xfId="3" applyNumberFormat="1" applyFont="1" applyBorder="1" applyAlignment="1">
      <alignment horizontal="right" indent="1"/>
    </xf>
    <xf numFmtId="0" fontId="4" fillId="0" borderId="0" xfId="0" applyFont="1" applyAlignment="1">
      <alignment horizontal="center" vertical="center" wrapText="1"/>
    </xf>
    <xf numFmtId="170" fontId="5" fillId="0" borderId="0" xfId="3" applyNumberFormat="1" applyFont="1" applyAlignment="1">
      <alignment horizontal="right"/>
    </xf>
    <xf numFmtId="0" fontId="13" fillId="0" borderId="6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8" fillId="46" borderId="6" xfId="0" applyFont="1" applyFill="1" applyBorder="1" applyAlignment="1">
      <alignment horizontal="left"/>
    </xf>
    <xf numFmtId="0" fontId="8" fillId="46" borderId="5" xfId="0" applyFont="1" applyFill="1" applyBorder="1" applyAlignment="1">
      <alignment horizontal="left"/>
    </xf>
    <xf numFmtId="0" fontId="8" fillId="46" borderId="13" xfId="0" applyFont="1" applyFill="1" applyBorder="1" applyAlignment="1">
      <alignment horizontal="left"/>
    </xf>
    <xf numFmtId="0" fontId="2" fillId="11" borderId="6" xfId="3" applyFont="1" applyFill="1" applyBorder="1" applyAlignment="1">
      <alignment horizontal="left"/>
    </xf>
    <xf numFmtId="0" fontId="2" fillId="11" borderId="5" xfId="3" applyFont="1" applyFill="1" applyBorder="1" applyAlignment="1">
      <alignment horizontal="left"/>
    </xf>
    <xf numFmtId="0" fontId="2" fillId="11" borderId="13" xfId="3" applyFont="1" applyFill="1" applyBorder="1" applyAlignment="1">
      <alignment horizontal="left"/>
    </xf>
    <xf numFmtId="0" fontId="8" fillId="42" borderId="1" xfId="0" applyFont="1" applyFill="1" applyBorder="1" applyAlignment="1">
      <alignment horizontal="left"/>
    </xf>
    <xf numFmtId="0" fontId="8" fillId="42" borderId="2" xfId="0" applyFont="1" applyFill="1" applyBorder="1" applyAlignment="1">
      <alignment horizontal="left"/>
    </xf>
    <xf numFmtId="0" fontId="8" fillId="42" borderId="14" xfId="0" applyFont="1" applyFill="1" applyBorder="1" applyAlignment="1">
      <alignment horizontal="left"/>
    </xf>
    <xf numFmtId="0" fontId="8" fillId="43" borderId="6" xfId="0" applyFont="1" applyFill="1" applyBorder="1" applyAlignment="1">
      <alignment horizontal="left"/>
    </xf>
    <xf numFmtId="0" fontId="8" fillId="43" borderId="5" xfId="0" applyFont="1" applyFill="1" applyBorder="1" applyAlignment="1">
      <alignment horizontal="left"/>
    </xf>
    <xf numFmtId="0" fontId="8" fillId="43" borderId="13" xfId="0" applyFont="1" applyFill="1" applyBorder="1" applyAlignment="1">
      <alignment horizontal="left"/>
    </xf>
    <xf numFmtId="0" fontId="8" fillId="7" borderId="6" xfId="0" applyFont="1" applyFill="1" applyBorder="1" applyAlignment="1">
      <alignment horizontal="left"/>
    </xf>
    <xf numFmtId="0" fontId="8" fillId="7" borderId="5" xfId="0" applyFont="1" applyFill="1" applyBorder="1" applyAlignment="1">
      <alignment horizontal="left"/>
    </xf>
    <xf numFmtId="0" fontId="8" fillId="7" borderId="13" xfId="0" applyFont="1" applyFill="1" applyBorder="1" applyAlignment="1">
      <alignment horizontal="left"/>
    </xf>
    <xf numFmtId="164" fontId="2" fillId="44" borderId="7" xfId="3" applyNumberFormat="1" applyFont="1" applyFill="1" applyBorder="1" applyAlignment="1">
      <alignment horizontal="left"/>
    </xf>
    <xf numFmtId="164" fontId="2" fillId="44" borderId="0" xfId="3" applyNumberFormat="1" applyFont="1" applyFill="1" applyAlignment="1">
      <alignment horizontal="left"/>
    </xf>
    <xf numFmtId="164" fontId="2" fillId="44" borderId="10" xfId="3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45" borderId="6" xfId="0" applyFont="1" applyFill="1" applyBorder="1" applyAlignment="1">
      <alignment horizontal="left"/>
    </xf>
    <xf numFmtId="0" fontId="2" fillId="45" borderId="5" xfId="0" applyFont="1" applyFill="1" applyBorder="1" applyAlignment="1">
      <alignment horizontal="left"/>
    </xf>
    <xf numFmtId="0" fontId="2" fillId="45" borderId="13" xfId="0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20" fillId="0" borderId="58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4" fillId="2" borderId="13" xfId="3" applyFont="1" applyFill="1" applyBorder="1" applyAlignment="1">
      <alignment horizontal="left"/>
    </xf>
    <xf numFmtId="0" fontId="62" fillId="0" borderId="9" xfId="0" applyFont="1" applyBorder="1" applyAlignment="1">
      <alignment horizontal="left"/>
    </xf>
    <xf numFmtId="0" fontId="69" fillId="0" borderId="9" xfId="0" applyFont="1" applyBorder="1" applyAlignment="1">
      <alignment horizontal="left"/>
    </xf>
    <xf numFmtId="0" fontId="62" fillId="0" borderId="6" xfId="0" applyFont="1" applyBorder="1" applyAlignment="1">
      <alignment horizontal="left"/>
    </xf>
    <xf numFmtId="0" fontId="62" fillId="0" borderId="5" xfId="0" applyFont="1" applyBorder="1" applyAlignment="1">
      <alignment horizontal="left"/>
    </xf>
    <xf numFmtId="0" fontId="62" fillId="0" borderId="13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0" fontId="68" fillId="0" borderId="5" xfId="0" applyFont="1" applyBorder="1" applyAlignment="1">
      <alignment horizontal="left"/>
    </xf>
    <xf numFmtId="0" fontId="68" fillId="0" borderId="13" xfId="0" applyFont="1" applyBorder="1" applyAlignment="1">
      <alignment horizontal="left"/>
    </xf>
  </cellXfs>
  <cellStyles count="52">
    <cellStyle name="20 % – Zvýraznění1 2" xfId="6" xr:uid="{00000000-0005-0000-0000-000000000000}"/>
    <cellStyle name="20 % – Zvýraznění2 2" xfId="7" xr:uid="{00000000-0005-0000-0000-000001000000}"/>
    <cellStyle name="20 % – Zvýraznění3 2" xfId="8" xr:uid="{00000000-0005-0000-0000-000002000000}"/>
    <cellStyle name="20 % – Zvýraznění4 2" xfId="9" xr:uid="{00000000-0005-0000-0000-000003000000}"/>
    <cellStyle name="20 % – Zvýraznění5 2" xfId="10" xr:uid="{00000000-0005-0000-0000-000004000000}"/>
    <cellStyle name="20 % – Zvýraznění6 2" xfId="11" xr:uid="{00000000-0005-0000-0000-000005000000}"/>
    <cellStyle name="40 % – Zvýraznění1 2" xfId="12" xr:uid="{00000000-0005-0000-0000-000006000000}"/>
    <cellStyle name="40 % – Zvýraznění2 2" xfId="13" xr:uid="{00000000-0005-0000-0000-000007000000}"/>
    <cellStyle name="40 % – Zvýraznění3 2" xfId="14" xr:uid="{00000000-0005-0000-0000-000008000000}"/>
    <cellStyle name="40 % – Zvýraznění4 2" xfId="15" xr:uid="{00000000-0005-0000-0000-000009000000}"/>
    <cellStyle name="40 % – Zvýraznění5 2" xfId="16" xr:uid="{00000000-0005-0000-0000-00000A000000}"/>
    <cellStyle name="40 % – Zvýraznění6 2" xfId="17" xr:uid="{00000000-0005-0000-0000-00000B000000}"/>
    <cellStyle name="60 % – Zvýraznění1 2" xfId="18" xr:uid="{00000000-0005-0000-0000-00000C000000}"/>
    <cellStyle name="60 % – Zvýraznění2 2" xfId="19" xr:uid="{00000000-0005-0000-0000-00000D000000}"/>
    <cellStyle name="60 % – Zvýraznění3 2" xfId="20" xr:uid="{00000000-0005-0000-0000-00000E000000}"/>
    <cellStyle name="60 % – Zvýraznění4 2" xfId="21" xr:uid="{00000000-0005-0000-0000-00000F000000}"/>
    <cellStyle name="60 % – Zvýraznění5 2" xfId="22" xr:uid="{00000000-0005-0000-0000-000010000000}"/>
    <cellStyle name="60 % – Zvýraznění6 2" xfId="23" xr:uid="{00000000-0005-0000-0000-000011000000}"/>
    <cellStyle name="Celkem 2" xfId="24" xr:uid="{00000000-0005-0000-0000-000012000000}"/>
    <cellStyle name="Čárka 2" xfId="2" xr:uid="{00000000-0005-0000-0000-000013000000}"/>
    <cellStyle name="Čárka 3" xfId="49" xr:uid="{00000000-0005-0000-0000-000014000000}"/>
    <cellStyle name="Hypertextový odkaz" xfId="51" builtinId="8"/>
    <cellStyle name="Chybně 2" xfId="25" xr:uid="{00000000-0005-0000-0000-000015000000}"/>
    <cellStyle name="Kontrolní buňka 2" xfId="26" xr:uid="{00000000-0005-0000-0000-000016000000}"/>
    <cellStyle name="Nadpis 1 2" xfId="27" xr:uid="{00000000-0005-0000-0000-000017000000}"/>
    <cellStyle name="Nadpis 2 2" xfId="28" xr:uid="{00000000-0005-0000-0000-000018000000}"/>
    <cellStyle name="Nadpis 3 2" xfId="29" xr:uid="{00000000-0005-0000-0000-000019000000}"/>
    <cellStyle name="Nadpis 4 2" xfId="30" xr:uid="{00000000-0005-0000-0000-00001A000000}"/>
    <cellStyle name="Název 2" xfId="31" xr:uid="{00000000-0005-0000-0000-00001B000000}"/>
    <cellStyle name="Neutrální 2" xfId="32" xr:uid="{00000000-0005-0000-0000-00001C000000}"/>
    <cellStyle name="Normal_Financni model v3.0.2" xfId="33" xr:uid="{00000000-0005-0000-0000-00001D000000}"/>
    <cellStyle name="Normální" xfId="0" builtinId="0"/>
    <cellStyle name="Normální 2" xfId="1" xr:uid="{00000000-0005-0000-0000-00001F000000}"/>
    <cellStyle name="Normální 3" xfId="48" xr:uid="{00000000-0005-0000-0000-000020000000}"/>
    <cellStyle name="normální_export_2008_53_Všejany" xfId="3" xr:uid="{00000000-0005-0000-0000-000021000000}"/>
    <cellStyle name="normální_Sešit2" xfId="5" xr:uid="{00000000-0005-0000-0000-000022000000}"/>
    <cellStyle name="Poznámka 2" xfId="34" xr:uid="{00000000-0005-0000-0000-000023000000}"/>
    <cellStyle name="Procenta 2" xfId="4" xr:uid="{00000000-0005-0000-0000-000024000000}"/>
    <cellStyle name="Procenta 3" xfId="50" xr:uid="{00000000-0005-0000-0000-000025000000}"/>
    <cellStyle name="Propojená buňka 2" xfId="35" xr:uid="{00000000-0005-0000-0000-000026000000}"/>
    <cellStyle name="Správně 2" xfId="36" xr:uid="{00000000-0005-0000-0000-000027000000}"/>
    <cellStyle name="Text upozornění 2" xfId="37" xr:uid="{00000000-0005-0000-0000-000028000000}"/>
    <cellStyle name="Vstup 2" xfId="38" xr:uid="{00000000-0005-0000-0000-000029000000}"/>
    <cellStyle name="Výpočet 2" xfId="39" xr:uid="{00000000-0005-0000-0000-00002A000000}"/>
    <cellStyle name="Výstup 2" xfId="40" xr:uid="{00000000-0005-0000-0000-00002B000000}"/>
    <cellStyle name="Vysvětlující text 2" xfId="41" xr:uid="{00000000-0005-0000-0000-00002C000000}"/>
    <cellStyle name="Zvýraznění 1 2" xfId="42" xr:uid="{00000000-0005-0000-0000-00002D000000}"/>
    <cellStyle name="Zvýraznění 2 2" xfId="43" xr:uid="{00000000-0005-0000-0000-00002E000000}"/>
    <cellStyle name="Zvýraznění 3 2" xfId="44" xr:uid="{00000000-0005-0000-0000-00002F000000}"/>
    <cellStyle name="Zvýraznění 4 2" xfId="45" xr:uid="{00000000-0005-0000-0000-000030000000}"/>
    <cellStyle name="Zvýraznění 5 2" xfId="46" xr:uid="{00000000-0005-0000-0000-000031000000}"/>
    <cellStyle name="Zvýraznění 6 2" xfId="47" xr:uid="{00000000-0005-0000-0000-000032000000}"/>
  </cellStyles>
  <dxfs count="810"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 val="0"/>
        <i val="0"/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 val="0"/>
        <i val="0"/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b/>
        <i val="0"/>
        <color rgb="FFFF0000"/>
      </font>
    </dxf>
    <dxf>
      <font>
        <b val="0"/>
        <i val="0"/>
        <color theme="1"/>
      </font>
      <fill>
        <patternFill>
          <bgColor theme="0" tint="-0.24994659260841701"/>
        </patternFill>
      </fill>
    </dxf>
    <dxf>
      <font>
        <b val="0"/>
        <i val="0"/>
        <color theme="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theme="0"/>
      </font>
      <fill>
        <patternFill>
          <bgColor rgb="FF33CC33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33CC33"/>
        </patternFill>
      </fill>
    </dxf>
  </dxfs>
  <tableStyles count="0" defaultTableStyle="TableStyleMedium2" defaultPivotStyle="PivotStyleLight16"/>
  <colors>
    <mruColors>
      <color rgb="FFFF9900"/>
      <color rgb="FF8DB4E2"/>
      <color rgb="FFFFCC66"/>
      <color rgb="FFFE9900"/>
      <color rgb="FFFECC66"/>
      <color rgb="FF8EB4E2"/>
      <color rgb="FFCDFFCC"/>
      <color rgb="FF34CC33"/>
      <color rgb="FFFF99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3</xdr:row>
      <xdr:rowOff>38100</xdr:rowOff>
    </xdr:from>
    <xdr:to>
      <xdr:col>2</xdr:col>
      <xdr:colOff>619125</xdr:colOff>
      <xdr:row>6</xdr:row>
      <xdr:rowOff>3564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933450"/>
          <a:ext cx="1504950" cy="536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hladikova\Documents\stazeno%20z%20webu\15960-04_fn_opzp_ii_0_11_sf1_2%20(1)\FN_OPZP_II.0.11_SF1.2\Zakladni_modul_vII.0.11_SF1.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hladikova\Documents\stazeno%20z%20webu\9523-fm_sps_v1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i list"/>
      <sheetName val="Info"/>
      <sheetName val="Spolecne vstupy"/>
      <sheetName val="Najemne V"/>
      <sheetName val="Najemne S"/>
      <sheetName val="Vstupy V"/>
      <sheetName val="Vypocty V"/>
      <sheetName val="Vystupy V"/>
      <sheetName val="Vstupy S"/>
      <sheetName val="Vypocty S"/>
      <sheetName val="Vystupy S"/>
      <sheetName val="Souhrn"/>
      <sheetName val="Slov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C1">
            <v>1</v>
          </cell>
        </row>
        <row r="4">
          <cell r="C4" t="str">
            <v>rok</v>
          </cell>
          <cell r="D4" t="str">
            <v>year</v>
          </cell>
        </row>
        <row r="5">
          <cell r="C5" t="str">
            <v>ZÁKLADNÍ VSTUPNÍ DATA</v>
          </cell>
          <cell r="D5" t="str">
            <v>KEY GENERAL INPUTS</v>
          </cell>
        </row>
        <row r="6">
          <cell r="C6" t="str">
            <v>VSTUPY PRO OBĚ SLOŽKY</v>
          </cell>
          <cell r="D6" t="str">
            <v>SHARED INPUTS</v>
          </cell>
        </row>
        <row r="7">
          <cell r="C7" t="str">
            <v>Historický rok</v>
          </cell>
          <cell r="D7" t="str">
            <v>Historical year</v>
          </cell>
        </row>
        <row r="8">
          <cell r="C8" t="str">
            <v>Délka trvání cenové fixace</v>
          </cell>
          <cell r="D8" t="str">
            <v>Duration of Price Control Period</v>
          </cell>
        </row>
        <row r="9">
          <cell r="C9" t="str">
            <v>Zbývající délka smlouvy</v>
          </cell>
          <cell r="D9" t="str">
            <v>Remaining contract life</v>
          </cell>
        </row>
        <row r="10">
          <cell r="C10" t="str">
            <v>Požadované VaPNaK</v>
          </cell>
          <cell r="D10" t="str">
            <v>Required WACC</v>
          </cell>
        </row>
        <row r="11">
          <cell r="C11" t="str">
            <v>Základní hodnota</v>
          </cell>
          <cell r="D11" t="str">
            <v>Base Value</v>
          </cell>
        </row>
        <row r="12">
          <cell r="C12" t="str">
            <v>Upravená hodnota (pro provozní společnost)</v>
          </cell>
          <cell r="D12" t="str">
            <v>Adjusted value of WACC (for Operator)</v>
          </cell>
        </row>
        <row r="13">
          <cell r="C13" t="str">
            <v>Standardní měřítko pro pohledávky (dny)</v>
          </cell>
          <cell r="D13" t="str">
            <v>Benchmark figure for accounts receivable (days)</v>
          </cell>
        </row>
        <row r="14">
          <cell r="C14" t="str">
            <v>Standardní měřítko pro závazky (dny)</v>
          </cell>
          <cell r="D14" t="str">
            <v>Benchmark figure for accounts payable (days)</v>
          </cell>
        </row>
        <row r="15">
          <cell r="C15" t="str">
            <v>Odhad roční inflace</v>
          </cell>
          <cell r="D15" t="str">
            <v>Forecast inflation</v>
          </cell>
        </row>
        <row r="16">
          <cell r="C16" t="str">
            <v>Cenový index</v>
          </cell>
          <cell r="D16" t="str">
            <v>Inflation index</v>
          </cell>
        </row>
        <row r="17">
          <cell r="C17" t="str">
            <v>Výchozí rok</v>
          </cell>
          <cell r="D17" t="str">
            <v>Base Year</v>
          </cell>
        </row>
        <row r="18">
          <cell r="C18" t="str">
            <v>První období cenové fixace</v>
          </cell>
          <cell r="D18" t="str">
            <v>1st price control period</v>
          </cell>
        </row>
        <row r="19">
          <cell r="C19" t="str">
            <v>Druhé období cenové fixace</v>
          </cell>
          <cell r="D19" t="str">
            <v>2nd price control period</v>
          </cell>
        </row>
        <row r="20">
          <cell r="C20" t="str">
            <v>Vstupy z externích modulů</v>
          </cell>
          <cell r="D20" t="str">
            <v>Inputs from off model modules</v>
          </cell>
        </row>
        <row r="21">
          <cell r="C21" t="str">
            <v>Přímé uživatelské vstupy</v>
          </cell>
          <cell r="D21" t="str">
            <v>Direct inputs</v>
          </cell>
        </row>
        <row r="22">
          <cell r="C22" t="str">
            <v>Uživatelské vstupy - přepis předvolených hodnot</v>
          </cell>
          <cell r="D22" t="str">
            <v>User input - overriding default approach</v>
          </cell>
        </row>
        <row r="23">
          <cell r="C23" t="str">
            <v>Údaje mimo modelované období</v>
          </cell>
          <cell r="D23" t="str">
            <v>Data outside time period of relevance</v>
          </cell>
        </row>
        <row r="24">
          <cell r="C24" t="str">
            <v>Takto označené řádky vyžadují některé Přímé uživatelské vstupy</v>
          </cell>
          <cell r="D24" t="str">
            <v>The rows introduced by this sign require some Direct inputs</v>
          </cell>
        </row>
        <row r="25">
          <cell r="C25" t="str">
            <v>VSTUPY PRO VODNÉ</v>
          </cell>
          <cell r="D25" t="str">
            <v>INPUTS FOR DRINKING WATER</v>
          </cell>
        </row>
        <row r="26">
          <cell r="C26" t="str">
            <v>Vstupy vlastníka</v>
          </cell>
          <cell r="D26" t="str">
            <v>Inputs by Owner</v>
          </cell>
        </row>
        <row r="27">
          <cell r="C27" t="str">
            <v>Nájemné</v>
          </cell>
          <cell r="D27" t="str">
            <v>Rent</v>
          </cell>
        </row>
        <row r="28">
          <cell r="C28" t="str">
            <v>Přístup k vyhlazení ceny</v>
          </cell>
          <cell r="D28" t="str">
            <v>Approach to tariff smoothing</v>
          </cell>
        </row>
        <row r="29">
          <cell r="C29" t="str">
            <v>Žádné / konstantní růst</v>
          </cell>
          <cell r="D29" t="str">
            <v>None / constant increase</v>
          </cell>
        </row>
        <row r="30">
          <cell r="C30" t="str">
            <v>% ročního reálného růstu pro konstantní nárůst</v>
          </cell>
          <cell r="D30" t="str">
            <v xml:space="preserve">If constant increase, % annual real increase </v>
          </cell>
        </row>
        <row r="31">
          <cell r="C31" t="str">
            <v>Vstupy vlastníka / provozovatele</v>
          </cell>
          <cell r="D31" t="str">
            <v>Inputs by Owner / Operator</v>
          </cell>
        </row>
        <row r="32">
          <cell r="C32" t="str">
            <v>Výroba</v>
          </cell>
          <cell r="D32" t="str">
            <v>Production</v>
          </cell>
        </row>
        <row r="33">
          <cell r="C33" t="str">
            <v>Voda vyčištěná (vlastní ČOV)</v>
          </cell>
          <cell r="D33" t="str">
            <v>Volume treated by own WWTP</v>
          </cell>
        </row>
        <row r="34">
          <cell r="C34" t="str">
            <v>Voda vyčištěná (jiná ČOV)</v>
          </cell>
          <cell r="D34" t="str">
            <v>Volume treated by other WWTP</v>
          </cell>
        </row>
        <row r="35">
          <cell r="C35" t="str">
            <v>Voda vyčištěná - celkem</v>
          </cell>
          <cell r="D35" t="str">
            <v>Total volume treated</v>
          </cell>
        </row>
        <row r="36">
          <cell r="C36" t="str">
            <v xml:space="preserve"> - objem vody vyrobené</v>
          </cell>
          <cell r="D36" t="str">
            <v xml:space="preserve"> - volume produced</v>
          </cell>
        </row>
        <row r="37">
          <cell r="C37" t="str">
            <v xml:space="preserve"> - objem vody převzaté</v>
          </cell>
          <cell r="D37" t="str">
            <v xml:space="preserve"> - volume purchased in bulk</v>
          </cell>
        </row>
        <row r="38">
          <cell r="C38" t="str">
            <v xml:space="preserve"> - objem vody předané</v>
          </cell>
          <cell r="D38" t="str">
            <v xml:space="preserve"> - volume sold in bulk</v>
          </cell>
        </row>
        <row r="39">
          <cell r="C39" t="str">
            <v>Voda k realizaci</v>
          </cell>
          <cell r="D39" t="str">
            <v>Total input water</v>
          </cell>
        </row>
        <row r="40">
          <cell r="C40" t="str">
            <v>Objem vody dodané</v>
          </cell>
          <cell r="D40" t="str">
            <v>Volumes supplied</v>
          </cell>
        </row>
        <row r="41">
          <cell r="C41" t="str">
            <v xml:space="preserve"> - domácnosti</v>
          </cell>
          <cell r="D41" t="str">
            <v xml:space="preserve"> - households</v>
          </cell>
        </row>
        <row r="42">
          <cell r="C42" t="str">
            <v xml:space="preserve"> - ostatní</v>
          </cell>
          <cell r="D42" t="str">
            <v xml:space="preserve"> - non-households</v>
          </cell>
        </row>
        <row r="43">
          <cell r="C43" t="str">
            <v>(včetně dešťové)</v>
          </cell>
          <cell r="D43" t="str">
            <v>(rainwater included)</v>
          </cell>
        </row>
        <row r="44">
          <cell r="C44" t="str">
            <v>Objem vody dodané - celkem</v>
          </cell>
          <cell r="D44" t="str">
            <v>Total volume supplied</v>
          </cell>
        </row>
        <row r="45">
          <cell r="C45" t="str">
            <v>Objem vody odvedené</v>
          </cell>
          <cell r="D45" t="str">
            <v>Volume collected</v>
          </cell>
        </row>
        <row r="46">
          <cell r="C46" t="str">
            <v>Voda odpadní odváděná fakturovatelná</v>
          </cell>
          <cell r="D46" t="str">
            <v>Wastewater collected and billed</v>
          </cell>
        </row>
        <row r="47">
          <cell r="C47" t="str">
            <v>Přístup k Očekávání</v>
          </cell>
          <cell r="D47" t="str">
            <v>Expectations approach</v>
          </cell>
        </row>
        <row r="48">
          <cell r="C48" t="str">
            <v>Úspěšnost výběru pohledávek</v>
          </cell>
          <cell r="D48" t="str">
            <v>Collection Rate</v>
          </cell>
        </row>
        <row r="49">
          <cell r="C49" t="str">
            <v>Vstupy provozovatele</v>
          </cell>
          <cell r="D49" t="str">
            <v>Inputs by Operator</v>
          </cell>
        </row>
        <row r="50">
          <cell r="C50" t="str">
            <v>Vstupní ReHoM</v>
          </cell>
          <cell r="D50" t="str">
            <v>Initial RAB</v>
          </cell>
        </row>
        <row r="51">
          <cell r="C51" t="str">
            <v>Infrastrukturní majetek</v>
          </cell>
          <cell r="D51" t="str">
            <v>Infrastructure assets</v>
          </cell>
        </row>
        <row r="52">
          <cell r="C52" t="str">
            <v>Provozní majetek</v>
          </cell>
          <cell r="D52" t="str">
            <v>Operational assets</v>
          </cell>
        </row>
        <row r="53">
          <cell r="C53" t="str">
            <v>Účetní odpisy stávajícího majetku</v>
          </cell>
          <cell r="D53" t="str">
            <v>Accounting depreciation for existing assets</v>
          </cell>
        </row>
        <row r="54">
          <cell r="C54" t="str">
            <v>Odpisy infrastrukturního majetku</v>
          </cell>
          <cell r="D54" t="str">
            <v>Depreciation of infrastructure assets</v>
          </cell>
        </row>
        <row r="55">
          <cell r="C55" t="str">
            <v>Odpisy provozního majetku</v>
          </cell>
          <cell r="D55" t="str">
            <v>Depreciation of operartional assets</v>
          </cell>
        </row>
        <row r="56">
          <cell r="C56" t="str">
            <v>Regulatorní odpisy stávajícího majetku</v>
          </cell>
          <cell r="D56" t="str">
            <v>Regulatory depreciation for existing assets</v>
          </cell>
        </row>
        <row r="57">
          <cell r="C57" t="str">
            <v>Investiční náklady</v>
          </cell>
          <cell r="D57" t="str">
            <v>Capex</v>
          </cell>
        </row>
        <row r="58">
          <cell r="C58" t="str">
            <v>Odpisy plánovaných investic</v>
          </cell>
          <cell r="D58" t="str">
            <v>Depreciation for planned capex</v>
          </cell>
        </row>
        <row r="59">
          <cell r="C59" t="str">
            <v>(za celou společnost)</v>
          </cell>
          <cell r="D59" t="str">
            <v>(whole company)</v>
          </cell>
        </row>
        <row r="60">
          <cell r="C60" t="str">
            <v xml:space="preserve"> jako % vstupní ceny</v>
          </cell>
          <cell r="D60" t="str">
            <v xml:space="preserve"> as % of original Capex</v>
          </cell>
        </row>
        <row r="61">
          <cell r="C61" t="str">
            <v>Přidělení provozního majetku na danou službu</v>
          </cell>
          <cell r="D61" t="str">
            <v>Apportionment of operational assets to contract</v>
          </cell>
        </row>
        <row r="62">
          <cell r="C62" t="str">
            <v>Odprodej majetku</v>
          </cell>
          <cell r="D62" t="str">
            <v>Asset disposals</v>
          </cell>
        </row>
        <row r="63">
          <cell r="C63" t="str">
            <v>Zásoby</v>
          </cell>
          <cell r="D63" t="str">
            <v>Inventory</v>
          </cell>
        </row>
        <row r="64">
          <cell r="C64" t="str">
            <v>Zbývající předplacené nájemné</v>
          </cell>
          <cell r="D64" t="str">
            <v>Outstanding pre-paid rent</v>
          </cell>
        </row>
        <row r="65">
          <cell r="C65" t="str">
            <v>Zbývající Očekávání</v>
          </cell>
          <cell r="D65" t="str">
            <v>Outstanding Expectations</v>
          </cell>
        </row>
        <row r="66">
          <cell r="C66" t="str">
            <v>Provozní náklady</v>
          </cell>
          <cell r="D66" t="str">
            <v>Opex</v>
          </cell>
        </row>
        <row r="67">
          <cell r="C67" t="str">
            <v>1. Materiál</v>
          </cell>
          <cell r="D67" t="str">
            <v>1. Material</v>
          </cell>
        </row>
        <row r="68">
          <cell r="C68" t="str">
            <v>1.1 surová voda podzemní + povrchová</v>
          </cell>
          <cell r="D68" t="str">
            <v>1.1 raw water - surface and groundwater</v>
          </cell>
        </row>
        <row r="69">
          <cell r="C69" t="str">
            <v>1.2 pitná voda převzatá + odpadní voda předaná k čištění</v>
          </cell>
          <cell r="D69" t="str">
            <v xml:space="preserve">1.2 drinking water purchased in bulk and wastewater </v>
          </cell>
        </row>
        <row r="70">
          <cell r="C70" t="str">
            <v>1.3 chemikálie</v>
          </cell>
          <cell r="D70" t="str">
            <v>1.3 chemicals</v>
          </cell>
        </row>
        <row r="71">
          <cell r="C71" t="str">
            <v>1.4 ostatní materiál</v>
          </cell>
          <cell r="D71" t="str">
            <v>1.4 other material</v>
          </cell>
        </row>
        <row r="72">
          <cell r="C72" t="str">
            <v>2. Energie</v>
          </cell>
          <cell r="D72" t="str">
            <v>2. Energy</v>
          </cell>
        </row>
        <row r="73">
          <cell r="C73" t="str">
            <v>2.1 elektrická energie</v>
          </cell>
          <cell r="D73" t="str">
            <v>2.1 electrical energy</v>
          </cell>
        </row>
        <row r="74">
          <cell r="C74" t="str">
            <v>2.2 ostatní energie (plyn, pevná a kapalná energie)</v>
          </cell>
          <cell r="D74" t="str">
            <v>2.2 other energy (gaseous, solid and liquid fuels)</v>
          </cell>
        </row>
        <row r="75">
          <cell r="C75" t="str">
            <v>3. Mzdy</v>
          </cell>
          <cell r="D75" t="str">
            <v>3. Wages</v>
          </cell>
        </row>
        <row r="76">
          <cell r="C76" t="str">
            <v>3.1 přímé mzdy</v>
          </cell>
          <cell r="D76" t="str">
            <v>3.1 direct wages</v>
          </cell>
        </row>
        <row r="77">
          <cell r="C77" t="str">
            <v>3.2 ostatní osobní náklady</v>
          </cell>
          <cell r="D77" t="str">
            <v>3.2 other staff costs</v>
          </cell>
        </row>
        <row r="78">
          <cell r="C78" t="str">
            <v>4. Ostatní přímé náklady</v>
          </cell>
          <cell r="D78" t="str">
            <v>4. Other direct costs</v>
          </cell>
        </row>
        <row r="79">
          <cell r="C79" t="str">
            <v>4.1 odpisy - pouze historické údaje!</v>
          </cell>
          <cell r="D79" t="str">
            <v>4.1 depreciation charges - historical data only!</v>
          </cell>
        </row>
        <row r="80">
          <cell r="C80" t="str">
            <v>4.2 opravy infrastrukturního majetku</v>
          </cell>
          <cell r="D80" t="str">
            <v>4.2 repairs to infrastructural assets</v>
          </cell>
        </row>
        <row r="81">
          <cell r="C81" t="str">
            <v>4.3 nájem infrastrukturního majetku - pouze historické údaje!</v>
          </cell>
          <cell r="D81" t="str">
            <v>4.3 rental of infrastructural assets - historical data only!</v>
          </cell>
        </row>
        <row r="82">
          <cell r="C82" t="str">
            <v>5.1 poplatky za vypouštění odpadních vod</v>
          </cell>
          <cell r="D82" t="str">
            <v>5.1 wastewater discharge fees</v>
          </cell>
        </row>
        <row r="83">
          <cell r="C83" t="str">
            <v>5.2 ostatní provozní náklady externí</v>
          </cell>
          <cell r="D83" t="str">
            <v>5.2 other operating costs - external</v>
          </cell>
        </row>
        <row r="84">
          <cell r="C84" t="str">
            <v>5.3 ostatní provozní náklady ve vlastní režii</v>
          </cell>
          <cell r="D84" t="str">
            <v>5.3 other own operating costs</v>
          </cell>
        </row>
        <row r="85">
          <cell r="C85" t="str">
            <v>6. Finanční náklady - 7. Finanční výnosy</v>
          </cell>
          <cell r="D85" t="str">
            <v>6. Financial costs - 7. Financial revenues</v>
          </cell>
        </row>
        <row r="86">
          <cell r="C86" t="str">
            <v>8. Výrobní režie</v>
          </cell>
          <cell r="D86" t="str">
            <v>8. Production overheads</v>
          </cell>
        </row>
        <row r="87">
          <cell r="C87" t="str">
            <v>z toho odpisy</v>
          </cell>
          <cell r="D87" t="str">
            <v>of which depreciation</v>
          </cell>
        </row>
        <row r="88">
          <cell r="C88" t="str">
            <v>9. Správní režie</v>
          </cell>
          <cell r="D88" t="str">
            <v>9. Administrative overheads</v>
          </cell>
        </row>
        <row r="89">
          <cell r="C89" t="str">
            <v>Celkové vlastní náklady dle kalkulace</v>
          </cell>
          <cell r="D89" t="str">
            <v>Total own costs following calculation</v>
          </cell>
        </row>
        <row r="90">
          <cell r="C90" t="str">
            <v>Celkové vlastní náklady kromě odpisů, nájemného a finančních nákladů</v>
          </cell>
          <cell r="D90" t="str">
            <v>Total own costs excluding depreciation, rent paid to asset owner and financial costs</v>
          </cell>
        </row>
        <row r="91">
          <cell r="C91" t="str">
            <v>Daň z příjmu právnických osob</v>
          </cell>
          <cell r="D91" t="str">
            <v>Corporation tax</v>
          </cell>
        </row>
        <row r="92">
          <cell r="C92" t="str">
            <v>Žádné</v>
          </cell>
          <cell r="D92" t="str">
            <v>None</v>
          </cell>
        </row>
        <row r="93">
          <cell r="C93" t="str">
            <v>Konstantní</v>
          </cell>
          <cell r="D93" t="str">
            <v>Constant</v>
          </cell>
        </row>
        <row r="94">
          <cell r="C94" t="str">
            <v>Konstantní růst</v>
          </cell>
          <cell r="D94" t="str">
            <v>Constant increase</v>
          </cell>
        </row>
        <row r="95">
          <cell r="C95" t="str">
            <v>běžné</v>
          </cell>
          <cell r="D95" t="str">
            <v>Straight line</v>
          </cell>
        </row>
        <row r="96">
          <cell r="C96" t="str">
            <v>anuitní</v>
          </cell>
          <cell r="D96" t="str">
            <v>Annuity</v>
          </cell>
        </row>
        <row r="97">
          <cell r="C97" t="str">
            <v>tis. Kč</v>
          </cell>
          <cell r="D97" t="str">
            <v>thou. CZK</v>
          </cell>
        </row>
        <row r="98">
          <cell r="C98" t="str">
            <v>tis. m3/rok</v>
          </cell>
          <cell r="D98" t="str">
            <v>thou. m3/yr</v>
          </cell>
        </row>
        <row r="99">
          <cell r="C99" t="str">
            <v>roky</v>
          </cell>
          <cell r="D99" t="str">
            <v>yr.</v>
          </cell>
        </row>
        <row r="100">
          <cell r="C100" t="str">
            <v>VÝSTUPY - VODNÉ</v>
          </cell>
          <cell r="D100" t="str">
            <v>OUTPUTS - DRINKING WATER</v>
          </cell>
        </row>
        <row r="101">
          <cell r="C101" t="str">
            <v>REGULATORNÍ HODNOTA KAPITÁLU</v>
          </cell>
          <cell r="D101" t="str">
            <v>REGULATORY CAPITAL VALUE</v>
          </cell>
        </row>
        <row r="102">
          <cell r="C102" t="str">
            <v>Regulatorní hodnota majetku - infrastrukturní</v>
          </cell>
          <cell r="D102" t="str">
            <v>Regulated asset base - infrastructure assets</v>
          </cell>
        </row>
        <row r="103">
          <cell r="C103" t="str">
            <v>Regulatorní hodnota majetku - provozní</v>
          </cell>
          <cell r="D103" t="str">
            <v>Regulated asset base - operational assets</v>
          </cell>
        </row>
        <row r="104">
          <cell r="C104" t="str">
            <v>Pracovní kapitál</v>
          </cell>
          <cell r="D104" t="str">
            <v>Working capital</v>
          </cell>
        </row>
        <row r="105">
          <cell r="C105" t="str">
            <v>Očekávání</v>
          </cell>
          <cell r="D105" t="str">
            <v>Expectations</v>
          </cell>
        </row>
        <row r="106">
          <cell r="C106" t="str">
            <v>ReHoK celkem</v>
          </cell>
          <cell r="D106" t="str">
            <v>Total RCV</v>
          </cell>
        </row>
        <row r="107">
          <cell r="C107" t="str">
            <v>POŽADOVANÝ PŘÍJEM</v>
          </cell>
          <cell r="D107" t="str">
            <v>REQUIRED REVENUE</v>
          </cell>
        </row>
        <row r="108">
          <cell r="C108" t="str">
            <v>Odpisy - nominální</v>
          </cell>
          <cell r="D108" t="str">
            <v>Depreciation - nominal</v>
          </cell>
        </row>
        <row r="109">
          <cell r="C109" t="str">
            <v>Odpisy infrastruktury - nominální</v>
          </cell>
          <cell r="D109" t="str">
            <v>Depreciation of infrastructure - nominal</v>
          </cell>
        </row>
        <row r="110">
          <cell r="C110" t="str">
            <v>Úprava odpisů o inflaci</v>
          </cell>
          <cell r="D110" t="str">
            <v>Depreciation adjustment for real</v>
          </cell>
        </row>
        <row r="111">
          <cell r="C111" t="str">
            <v>Výnos z ReHoK bez Očekávání</v>
          </cell>
          <cell r="D111" t="str">
            <v>Return on RCV w/o Expectations</v>
          </cell>
        </row>
        <row r="112">
          <cell r="C112" t="str">
            <v>Návratnost Očekávání</v>
          </cell>
          <cell r="D112" t="str">
            <v>Return of Expectations</v>
          </cell>
        </row>
        <row r="113">
          <cell r="C113" t="str">
            <v>Výnos z Očekávání</v>
          </cell>
          <cell r="D113" t="str">
            <v>Return on Expectations</v>
          </cell>
        </row>
        <row r="114">
          <cell r="C114" t="str">
            <v>Celkový Požadovaný příjem</v>
          </cell>
          <cell r="D114" t="str">
            <v>Total required revenue</v>
          </cell>
        </row>
        <row r="115">
          <cell r="C115" t="str">
            <v>Průměrná reálná cena založená na Požadovaném příjmu</v>
          </cell>
          <cell r="D115" t="str">
            <v>Average real price based on required revenue</v>
          </cell>
        </row>
        <row r="116">
          <cell r="C116" t="str">
            <v>Průměrná nomin. cena založená na Požadovaném příjmu</v>
          </cell>
          <cell r="D116" t="str">
            <v>Average nominal price based on required revenue</v>
          </cell>
        </row>
        <row r="117">
          <cell r="C117" t="str">
            <v>POVOLENÝ PŘÍJEM (pokud je relevantní)</v>
          </cell>
          <cell r="D117" t="str">
            <v>ALLOWED REVENUE (if relevant)</v>
          </cell>
        </row>
        <row r="118">
          <cell r="C118" t="str">
            <v>Průměrná reálná cena založená na Povoleném příjmu</v>
          </cell>
          <cell r="D118" t="str">
            <v>Average real price based on allowed revenue</v>
          </cell>
        </row>
        <row r="119">
          <cell r="C119" t="str">
            <v>Průměrná nominální cena založená na Povoleném příjmu</v>
          </cell>
          <cell r="D119" t="str">
            <v>Average nominal price based on allowed revenue</v>
          </cell>
        </row>
        <row r="120">
          <cell r="C120" t="str">
            <v>Kč/m3</v>
          </cell>
          <cell r="D120" t="str">
            <v>CZK/m3</v>
          </cell>
        </row>
        <row r="121">
          <cell r="C121" t="str">
            <v>Počáteční hodnota</v>
          </cell>
          <cell r="D121" t="str">
            <v>Opening value</v>
          </cell>
        </row>
        <row r="122">
          <cell r="C122" t="str">
            <v>Odpisy</v>
          </cell>
          <cell r="D122" t="str">
            <v>Depreciation</v>
          </cell>
        </row>
        <row r="123">
          <cell r="C123" t="str">
            <v>Odprodej</v>
          </cell>
          <cell r="D123" t="str">
            <v>Disposals</v>
          </cell>
        </row>
        <row r="124">
          <cell r="C124" t="str">
            <v>Investice</v>
          </cell>
          <cell r="D124" t="str">
            <v>New Investments</v>
          </cell>
        </row>
        <row r="125">
          <cell r="C125" t="str">
            <v>Odpisy investic</v>
          </cell>
          <cell r="D125" t="str">
            <v>Depriciation of investments</v>
          </cell>
        </row>
        <row r="126">
          <cell r="C126" t="str">
            <v>Konečná hodnota</v>
          </cell>
          <cell r="D126" t="str">
            <v>Closing value</v>
          </cell>
        </row>
        <row r="127">
          <cell r="C127" t="str">
            <v>Pracovní kapitál do budoucna</v>
          </cell>
          <cell r="D127" t="str">
            <v>Forecast Working Capital</v>
          </cell>
        </row>
        <row r="128">
          <cell r="C128" t="str">
            <v>Odhad obratu pro danou službu</v>
          </cell>
          <cell r="D128" t="str">
            <v>Forecast turnover for given contract</v>
          </cell>
        </row>
        <row r="129">
          <cell r="C129" t="str">
            <v>Odhad provozních nákladů pro danou službu</v>
          </cell>
          <cell r="D129" t="str">
            <v>Forecast operating costs for given contract</v>
          </cell>
        </row>
        <row r="130">
          <cell r="C130" t="str">
            <v>Zásoby vztahující se k dané službě</v>
          </cell>
          <cell r="D130" t="str">
            <v>Inventory employed for given service</v>
          </cell>
        </row>
        <row r="131">
          <cell r="C131" t="str">
            <v>Částečná potřeba Pracovního kapitálu</v>
          </cell>
          <cell r="D131" t="str">
            <v>Part of Working capital needs</v>
          </cell>
        </row>
        <row r="132">
          <cell r="C132" t="str">
            <v>Provozní - účetní odpisy v reálných cenách</v>
          </cell>
          <cell r="D132" t="str">
            <v>Operational - accounting depreciation in real prices</v>
          </cell>
        </row>
        <row r="133">
          <cell r="C133" t="str">
            <v>Infrastrukturní - účetní odpisy v reálných cenách</v>
          </cell>
          <cell r="D133" t="str">
            <v>Infrastructure - accounting depreciation in real prices</v>
          </cell>
        </row>
        <row r="134">
          <cell r="C134" t="str">
            <v>Reálné odpisy</v>
          </cell>
          <cell r="D134" t="str">
            <v>Real depreciation</v>
          </cell>
        </row>
        <row r="135">
          <cell r="C135" t="str">
            <v>Úprava o inflaci</v>
          </cell>
          <cell r="D135" t="str">
            <v>Adjustment for real</v>
          </cell>
        </row>
        <row r="136">
          <cell r="C136" t="str">
            <v xml:space="preserve"> - výnos z Očekávání</v>
          </cell>
          <cell r="D136" t="str">
            <v xml:space="preserve"> - return on Expectations</v>
          </cell>
        </row>
        <row r="137">
          <cell r="C137" t="str">
            <v xml:space="preserve"> - návratnost Očekávání</v>
          </cell>
          <cell r="D137" t="str">
            <v xml:space="preserve"> - return of Expectations</v>
          </cell>
        </row>
        <row r="138">
          <cell r="C138" t="str">
            <v xml:space="preserve"> - výnos a návratnost z Očekávání</v>
          </cell>
          <cell r="D138" t="str">
            <v xml:space="preserve"> - return on and of Expectations</v>
          </cell>
        </row>
        <row r="139">
          <cell r="C139" t="str">
            <v>VÝPOČTY PRO VODNÉ</v>
          </cell>
          <cell r="D139" t="str">
            <v>CALCULATIONS FOR DRINKING WATER</v>
          </cell>
        </row>
        <row r="140">
          <cell r="C140" t="str">
            <v>Diskontovaný Pož. příjem</v>
          </cell>
          <cell r="D140" t="str">
            <v>Discounted req. rev.</v>
          </cell>
        </row>
        <row r="141">
          <cell r="C141" t="str">
            <v>Diskontovaný objem produkce</v>
          </cell>
          <cell r="D141" t="str">
            <v>Dis.receivable water production</v>
          </cell>
        </row>
        <row r="142">
          <cell r="C142" t="str">
            <v>Index růstu cen</v>
          </cell>
          <cell r="D142" t="str">
            <v>Index for tariff increas</v>
          </cell>
        </row>
        <row r="143">
          <cell r="C143" t="str">
            <v>Diskontovaný objem produkce indexovaný cenovým růstem</v>
          </cell>
          <cell r="D143" t="str">
            <v>Indexed discounted receivable production</v>
          </cell>
        </row>
        <row r="144">
          <cell r="C144" t="str">
            <v>Cena</v>
          </cell>
          <cell r="D144" t="str">
            <v>Annual water tariff</v>
          </cell>
        </row>
        <row r="145">
          <cell r="C145" t="str">
            <v>Přepínače</v>
          </cell>
          <cell r="D145" t="str">
            <v>Switches</v>
          </cell>
        </row>
        <row r="146">
          <cell r="C146" t="str">
            <v>VSTUPY PRO STOČNÉ</v>
          </cell>
          <cell r="D146" t="str">
            <v>INPUTS FOR WASTEWATER</v>
          </cell>
        </row>
        <row r="147">
          <cell r="C147" t="str">
            <v>VÝPOČTY PRO STOČNÉ</v>
          </cell>
          <cell r="D147" t="str">
            <v>CALCULATIONS FOR WASTEWATER</v>
          </cell>
        </row>
        <row r="148">
          <cell r="C148" t="str">
            <v>VÝSTUPY - STOČNÉ</v>
          </cell>
          <cell r="D148" t="str">
            <v>OUTPUTS - WASTEWATER</v>
          </cell>
        </row>
        <row r="149">
          <cell r="C149" t="str">
            <v>NÁJEMNÉ</v>
          </cell>
          <cell r="D149" t="str">
            <v>RENT</v>
          </cell>
        </row>
        <row r="150">
          <cell r="C150" t="str">
            <v>VODNÉ</v>
          </cell>
          <cell r="D150" t="str">
            <v>DRINKING WATER</v>
          </cell>
        </row>
        <row r="151">
          <cell r="C151" t="str">
            <v>STOČNÉ</v>
          </cell>
          <cell r="D151" t="str">
            <v>WASTEWATER</v>
          </cell>
        </row>
        <row r="152">
          <cell r="C152" t="str">
            <v>Investiční výdaje dle Plánu financování obnovy</v>
          </cell>
          <cell r="D152" t="str">
            <v>Investments from Asset Renewal Plan</v>
          </cell>
        </row>
        <row r="153">
          <cell r="C153" t="str">
            <v>Finanční potřeba vlastníka</v>
          </cell>
          <cell r="D153" t="str">
            <v>Owner's financial needs</v>
          </cell>
        </row>
        <row r="154">
          <cell r="C154" t="str">
            <v>Provozní náklady vlastníka</v>
          </cell>
          <cell r="D154" t="str">
            <v>Owner's opex</v>
          </cell>
        </row>
        <row r="155">
          <cell r="C155" t="str">
            <v>Celková dluhová služba vlastníka</v>
          </cell>
          <cell r="D155" t="str">
            <v>Owner's total debt service payments</v>
          </cell>
        </row>
        <row r="156">
          <cell r="C156" t="str">
            <v xml:space="preserve"> z toho jistina</v>
          </cell>
          <cell r="D156" t="str">
            <v xml:space="preserve"> of which principal</v>
          </cell>
        </row>
        <row r="157">
          <cell r="C157" t="str">
            <v xml:space="preserve"> z toho úroky</v>
          </cell>
          <cell r="D157" t="str">
            <v xml:space="preserve"> of which interest</v>
          </cell>
        </row>
        <row r="158">
          <cell r="C158" t="str">
            <v>Očekávané daňové povinnosti vlastníka</v>
          </cell>
          <cell r="D158" t="str">
            <v>Owner's expected tax obligations</v>
          </cell>
        </row>
        <row r="159">
          <cell r="C159" t="str">
            <v>Smluvní investice ze strany provozovatele</v>
          </cell>
          <cell r="D159" t="str">
            <v>Operator's investment in infrastructure assets</v>
          </cell>
        </row>
        <row r="160">
          <cell r="C160" t="str">
            <v>Financováno z dotací</v>
          </cell>
          <cell r="D160" t="str">
            <v>Grant finance</v>
          </cell>
        </row>
        <row r="161">
          <cell r="C161" t="str">
            <v>Financováno z úvěru</v>
          </cell>
          <cell r="D161" t="str">
            <v>Debt finance</v>
          </cell>
        </row>
        <row r="162">
          <cell r="C162" t="str">
            <v>Potřeba vlastních zdrojů na obnovu a rozšíření</v>
          </cell>
          <cell r="D162" t="str">
            <v>Financed from own sources</v>
          </cell>
        </row>
        <row r="163">
          <cell r="C163" t="str">
            <v>Investiční výdaje na nové investice nad obnovu</v>
          </cell>
          <cell r="D163" t="str">
            <v>Investments over renewal plan</v>
          </cell>
        </row>
        <row r="164">
          <cell r="C164" t="str">
            <v>Celková roční potřeba vlastních zdrojů</v>
          </cell>
          <cell r="D164" t="str">
            <v>Total annual need of own sources</v>
          </cell>
        </row>
        <row r="165">
          <cell r="C165" t="str">
            <v>tis. Kč</v>
          </cell>
          <cell r="D165" t="str">
            <v>thou. CZK</v>
          </cell>
        </row>
        <row r="166">
          <cell r="C166" t="str">
            <v>Příjem vlastníka</v>
          </cell>
          <cell r="D166" t="str">
            <v>Owner's revenue</v>
          </cell>
        </row>
        <row r="167">
          <cell r="C167" t="str">
            <v>Nájem z vodného</v>
          </cell>
          <cell r="D167" t="str">
            <v xml:space="preserve">Drinking water rent </v>
          </cell>
        </row>
        <row r="168">
          <cell r="C168" t="str">
            <v>Nájem ze stočného</v>
          </cell>
          <cell r="D168" t="str">
            <v xml:space="preserve">Wastewater rent </v>
          </cell>
        </row>
        <row r="169">
          <cell r="C169" t="str">
            <v>CELKEM</v>
          </cell>
          <cell r="D169" t="str">
            <v>TOTAL</v>
          </cell>
        </row>
        <row r="170">
          <cell r="C170" t="str">
            <v>Roční potřeba vlastních zdrojů na vodné</v>
          </cell>
          <cell r="D170" t="str">
            <v>Annual requirement for own sources - DW</v>
          </cell>
        </row>
        <row r="171">
          <cell r="C171" t="str">
            <v>Roční potřeba vlastních zdrojů na stočné</v>
          </cell>
          <cell r="D171" t="str">
            <v>Annual requirement for own sources - WW</v>
          </cell>
        </row>
        <row r="172">
          <cell r="C172" t="str">
            <v>Příspěvek vlastníka</v>
          </cell>
          <cell r="D172" t="str">
            <v>Owner's contribution</v>
          </cell>
        </row>
        <row r="173">
          <cell r="C173" t="str">
            <v>Stav účtu hotovosti vlastníka ke konci roku</v>
          </cell>
          <cell r="D173" t="str">
            <v>State of owner's cash balance at start of year</v>
          </cell>
        </row>
        <row r="174">
          <cell r="C174" t="str">
            <v>ÚČET HOTOVOSTI VLASTNÍKA</v>
          </cell>
          <cell r="D174" t="str">
            <v>OWNER'S CASH BALANCE</v>
          </cell>
        </row>
        <row r="175">
          <cell r="C175" t="str">
            <v>Nájemné plus příspěvek vlastníka mínus výdaje</v>
          </cell>
          <cell r="D175" t="str">
            <v>Rent plus owner's contribution minus expenditure</v>
          </cell>
        </row>
        <row r="176">
          <cell r="C176" t="str">
            <v>(vybraná varianta)</v>
          </cell>
          <cell r="D176" t="str">
            <v>(chosen alternative)</v>
          </cell>
        </row>
        <row r="177">
          <cell r="C177" t="str">
            <v>A. Obecné</v>
          </cell>
          <cell r="D177" t="str">
            <v>A. General</v>
          </cell>
        </row>
        <row r="178">
          <cell r="C178" t="str">
            <v>B. Provozní majetek (za celou společnost)</v>
          </cell>
          <cell r="D178" t="str">
            <v>B. Operational assets (whole company)</v>
          </cell>
        </row>
        <row r="179">
          <cell r="C179" t="str">
            <v>Zbývající prvky ReHoK</v>
          </cell>
          <cell r="D179" t="str">
            <v>The rest of RCV elements</v>
          </cell>
        </row>
        <row r="180">
          <cell r="C180" t="str">
            <v>sazba</v>
          </cell>
          <cell r="D180" t="str">
            <v>rate</v>
          </cell>
        </row>
        <row r="181">
          <cell r="C181" t="str">
            <v>Základ</v>
          </cell>
          <cell r="D181" t="str">
            <v>Base</v>
          </cell>
        </row>
        <row r="182">
          <cell r="C182" t="str">
            <v>VÝSTUPY ZA OBĚ SLOŽKY DOHROMADY</v>
          </cell>
          <cell r="D182" t="str">
            <v>TOTAL OUTPUTS</v>
          </cell>
        </row>
        <row r="183">
          <cell r="C183" t="str">
            <v xml:space="preserve"> celkem</v>
          </cell>
          <cell r="D183" t="str">
            <v xml:space="preserve"> total</v>
          </cell>
        </row>
        <row r="184">
          <cell r="C184" t="str">
            <v>Bílý text v buňkách těchto barev naznačuje vstupní údaj</v>
          </cell>
          <cell r="D184" t="str">
            <v>White text in cells of these colours indicates input data</v>
          </cell>
        </row>
        <row r="185">
          <cell r="C185" t="str">
            <v>Jakýkoliv text v buňkách těchto barev je vstupní údaj</v>
          </cell>
          <cell r="D185" t="str">
            <v>Any text in cells of these colours indicates input data</v>
          </cell>
        </row>
        <row r="186">
          <cell r="C186" t="str">
            <v>bez PK</v>
          </cell>
          <cell r="D186" t="str">
            <v>w/o WC</v>
          </cell>
        </row>
        <row r="187">
          <cell r="C187" t="str">
            <v>Úprava Pož. příjmu o PK</v>
          </cell>
          <cell r="D187" t="str">
            <v>Modified Req. revenue by WC</v>
          </cell>
        </row>
        <row r="188">
          <cell r="C188" t="str">
            <v>příjmová část PK</v>
          </cell>
          <cell r="D188" t="str">
            <v>active WC</v>
          </cell>
        </row>
        <row r="189">
          <cell r="C189" t="str">
            <v>bez příjmové části</v>
          </cell>
          <cell r="D189" t="str">
            <v>w/o active part</v>
          </cell>
        </row>
        <row r="190">
          <cell r="C190" t="str">
            <v>a</v>
          </cell>
          <cell r="D190" t="str">
            <v>and</v>
          </cell>
        </row>
        <row r="191">
          <cell r="C191" t="str">
            <v>PK</v>
          </cell>
          <cell r="D191" t="str">
            <v>WC</v>
          </cell>
        </row>
        <row r="192">
          <cell r="C192" t="str">
            <v>uskutečněných v roce</v>
          </cell>
          <cell r="D192" t="str">
            <v>originating in</v>
          </cell>
        </row>
        <row r="193">
          <cell r="C193" t="str">
            <v>spočítaná</v>
          </cell>
          <cell r="D193" t="str">
            <v>calculated</v>
          </cell>
        </row>
        <row r="194">
          <cell r="C194" t="str">
            <v>uživatelský vstup</v>
          </cell>
          <cell r="D194" t="str">
            <v>user input</v>
          </cell>
        </row>
        <row r="195">
          <cell r="C195" t="str">
            <v>Výše požadovaných cen</v>
          </cell>
          <cell r="D195" t="str">
            <v>Predetermined tariff</v>
          </cell>
        </row>
        <row r="196">
          <cell r="C196" t="str">
            <v>Stálé ceny</v>
          </cell>
          <cell r="D196" t="str">
            <v>Constant prices</v>
          </cell>
        </row>
        <row r="197">
          <cell r="C197" t="str">
            <v>Běžné ceny</v>
          </cell>
          <cell r="D197" t="str">
            <v>Current prices</v>
          </cell>
        </row>
        <row r="198">
          <cell r="C198" t="str">
            <v>Nájemné dle stanovené ceny</v>
          </cell>
          <cell r="D198" t="str">
            <v>Rental payment required for desired tariff</v>
          </cell>
        </row>
        <row r="199">
          <cell r="C199" t="str">
            <v>Možnost vzdát se zisku</v>
          </cell>
          <cell r="D199" t="str">
            <v>Voluntary giving up of profit</v>
          </cell>
        </row>
        <row r="200">
          <cell r="C200" t="str">
            <v>Horní hranice odpočtu</v>
          </cell>
          <cell r="D200" t="str">
            <v>Maximum of giving up</v>
          </cell>
        </row>
        <row r="201">
          <cell r="C201" t="str">
            <v>Vzdát se zisku ve výši:</v>
          </cell>
          <cell r="D201" t="str">
            <v>Give up of profit:</v>
          </cell>
        </row>
        <row r="202">
          <cell r="C202" t="str">
            <v>SOUHRN</v>
          </cell>
          <cell r="D202" t="str">
            <v>SUMMARY</v>
          </cell>
        </row>
        <row r="203">
          <cell r="C203" t="str">
            <v>po vzdání se zisku</v>
          </cell>
          <cell r="D203" t="str">
            <v>after giving up of profit</v>
          </cell>
        </row>
        <row r="204">
          <cell r="C204" t="str">
            <v>Nájemné koresponduje s cenami</v>
          </cell>
          <cell r="D204" t="str">
            <v>Rent calculated by desired tariff - OK</v>
          </cell>
        </row>
        <row r="205">
          <cell r="C205" t="str">
            <v>Nutný přepočet nájemného</v>
          </cell>
          <cell r="D205" t="str">
            <v>New calculation of rent needed</v>
          </cell>
        </row>
        <row r="206">
          <cell r="C206" t="str">
            <v>Výpočet nájemného dle zadané ceny</v>
          </cell>
          <cell r="D206" t="str">
            <v>Calculation of rent by desired tariff</v>
          </cell>
        </row>
        <row r="207">
          <cell r="C207" t="str">
            <v>Nájemné - přímý uživatelský vstup</v>
          </cell>
          <cell r="D207" t="str">
            <v>Rent - direct user input</v>
          </cell>
        </row>
        <row r="208">
          <cell r="C208" t="str">
            <v>bez DPH</v>
          </cell>
          <cell r="D208" t="str">
            <v>w/o VAT</v>
          </cell>
        </row>
        <row r="209">
          <cell r="C209" t="str">
            <v>Název vlastníka</v>
          </cell>
          <cell r="D209" t="str">
            <v>Name of Owner</v>
          </cell>
        </row>
        <row r="210">
          <cell r="C210" t="str">
            <v>Název provozovatele</v>
          </cell>
          <cell r="D210" t="str">
            <v>Name of Operator</v>
          </cell>
        </row>
        <row r="211">
          <cell r="C211" t="str">
            <v>Zvolený kraj</v>
          </cell>
          <cell r="D211" t="str">
            <v>Selected region</v>
          </cell>
        </row>
        <row r="212">
          <cell r="C212" t="str">
            <v>Krajský index čistých příjmů domácností</v>
          </cell>
          <cell r="D212" t="str">
            <v>Regional index of net household income</v>
          </cell>
        </row>
        <row r="213">
          <cell r="C213" t="str">
            <v>Kraj</v>
          </cell>
          <cell r="D213" t="str">
            <v>Region</v>
          </cell>
        </row>
        <row r="214">
          <cell r="C214" t="str">
            <v>Průměrná spotřeba vody v domácnostech</v>
          </cell>
          <cell r="D214" t="str">
            <v>Specific domestic water consumption</v>
          </cell>
        </row>
        <row r="215">
          <cell r="C215" t="str">
            <v>ve výchozím roce</v>
          </cell>
          <cell r="D215" t="str">
            <v>in base year</v>
          </cell>
        </row>
        <row r="216">
          <cell r="C216" t="str">
            <v>Čistý průměrný měsíční příjem domácnosti</v>
          </cell>
          <cell r="D216" t="str">
            <v>Net average monthly income</v>
          </cell>
        </row>
        <row r="217">
          <cell r="C217" t="str">
            <v>v daném kraji</v>
          </cell>
          <cell r="D217" t="str">
            <v>in selected region</v>
          </cell>
        </row>
        <row r="218">
          <cell r="C218" t="str">
            <v>Kč / osobu</v>
          </cell>
          <cell r="D218" t="str">
            <v>CZK/person</v>
          </cell>
        </row>
        <row r="219">
          <cell r="C219" t="str">
            <v>DPH z vodného a stočného</v>
          </cell>
          <cell r="D219" t="str">
            <v>VAT on water services</v>
          </cell>
        </row>
        <row r="220">
          <cell r="C220" t="str">
            <v>Hranice sociální únosnosti</v>
          </cell>
          <cell r="D220" t="str">
            <v>Affordability limit (share of household income)</v>
          </cell>
        </row>
        <row r="221">
          <cell r="C221" t="str">
            <v>l/os/den</v>
          </cell>
          <cell r="D221" t="str">
            <v>l/p/d</v>
          </cell>
        </row>
        <row r="222">
          <cell r="C222" t="str">
            <v>Fyzické ukazatele</v>
          </cell>
          <cell r="D222" t="str">
            <v>Physical indicators</v>
          </cell>
        </row>
        <row r="223">
          <cell r="C223" t="str">
            <v>Objem vody dodané - domácnosti</v>
          </cell>
          <cell r="D223" t="str">
            <v>Volume supplied - households</v>
          </cell>
        </row>
        <row r="224">
          <cell r="C224" t="str">
            <v>Objem vody dodané - ostatní</v>
          </cell>
          <cell r="D224" t="str">
            <v>Volume supplied - non-households</v>
          </cell>
        </row>
        <row r="225">
          <cell r="C225" t="str">
            <v>Voda odpadní odváděná - domácnosti</v>
          </cell>
          <cell r="D225" t="str">
            <v>Wastewater collected - households</v>
          </cell>
        </row>
        <row r="226">
          <cell r="C226" t="str">
            <v>Voda odpadní odváděná - ostatní (včetně dešťové)</v>
          </cell>
          <cell r="D226" t="str">
            <v>Wastewater collected - non-households (rainwater included)</v>
          </cell>
        </row>
        <row r="227">
          <cell r="C227" t="str">
            <v>Růst v reálných příjmech domácností</v>
          </cell>
          <cell r="D227" t="str">
            <v>Growth in real household incomes</v>
          </cell>
        </row>
        <row r="228">
          <cell r="C228" t="str">
            <v>Index reálných příjmů domácností</v>
          </cell>
          <cell r="D228" t="str">
            <v>Index of real household incomes</v>
          </cell>
        </row>
        <row r="229">
          <cell r="C229" t="str">
            <v>Sociální únosnost</v>
          </cell>
          <cell r="D229" t="str">
            <v>Affordability</v>
          </cell>
        </row>
        <row r="230">
          <cell r="C230" t="str">
            <v>Roční průměrný výdaj na osobu za vodné a stočné</v>
          </cell>
          <cell r="D230" t="str">
            <v>Annual average expenditure on water services per person</v>
          </cell>
        </row>
        <row r="231">
          <cell r="C231" t="str">
            <v>Roční průměrný čistý příjem za osobu</v>
          </cell>
          <cell r="D231" t="str">
            <v>Annual average net income per person</v>
          </cell>
        </row>
        <row r="232">
          <cell r="C232" t="str">
            <v>Podíl výdajů domácností na vodné a stočné na příjmech</v>
          </cell>
          <cell r="D232" t="str">
            <v>Share of household income on water services</v>
          </cell>
        </row>
        <row r="233">
          <cell r="C233" t="str">
            <v>Sociálně unosná cena</v>
          </cell>
          <cell r="D233" t="str">
            <v>Affordability limit</v>
          </cell>
        </row>
        <row r="234">
          <cell r="C234" t="str">
            <v>Cena pro vodné (ve stálých cenách, vč. DPH)</v>
          </cell>
          <cell r="D234" t="str">
            <v>Water tariff (in constant prices, incl. VAT)</v>
          </cell>
        </row>
        <row r="235">
          <cell r="C235" t="str">
            <v>Cena pro stočné (ve stálých cenách, vč. DPH)</v>
          </cell>
          <cell r="D235" t="str">
            <v>Wastewater tariff (in constant prices, incl. VAT)</v>
          </cell>
        </row>
        <row r="236">
          <cell r="C236" t="str">
            <v>Sociálně únosná cena (stále ceny, vč. DPH)</v>
          </cell>
          <cell r="D236" t="str">
            <v>Affordability limit (constant prices, incl. VAT)</v>
          </cell>
        </row>
        <row r="237">
          <cell r="C237" t="str">
            <v>Ceny pro vodné a stočné a sociální únosnost - stálé ceny</v>
          </cell>
          <cell r="D237" t="str">
            <v>Tariffs and affordability - constant prices</v>
          </cell>
        </row>
        <row r="238">
          <cell r="C238" t="str">
            <v>budoucnost</v>
          </cell>
          <cell r="D238" t="str">
            <v>future</v>
          </cell>
        </row>
        <row r="239">
          <cell r="C239" t="str">
            <v xml:space="preserve">Požadovaný příjem </v>
          </cell>
          <cell r="D239" t="str">
            <v>Required revenue</v>
          </cell>
        </row>
        <row r="240">
          <cell r="C240" t="str">
            <v>Kč</v>
          </cell>
          <cell r="D240" t="str">
            <v>CZK</v>
          </cell>
        </row>
        <row r="241">
          <cell r="C241" t="str">
            <v>Dlouhodobý deficit v nájemném této složky!</v>
          </cell>
          <cell r="D241" t="str">
            <v>Longterm deficit in rent to Owner!</v>
          </cell>
        </row>
        <row r="242">
          <cell r="C242" t="str">
            <v>Finanční náklady</v>
          </cell>
          <cell r="D242" t="str">
            <v>Financial costs</v>
          </cell>
        </row>
        <row r="243">
          <cell r="C243" t="str">
            <v>Odpisy zahrnuté do výrobní režie</v>
          </cell>
          <cell r="D243" t="str">
            <v>Depreciation included into Production overheads</v>
          </cell>
        </row>
        <row r="244">
          <cell r="C244" t="str">
            <v>Odpisy zahrnuté do správní režie</v>
          </cell>
          <cell r="D244" t="str">
            <v>Depreciation included into Administrative overheads</v>
          </cell>
        </row>
        <row r="245">
          <cell r="C245" t="str">
            <v>Hodnota infrastrukturního majetku podle VÚME</v>
          </cell>
          <cell r="D245" t="str">
            <v>Ifrastructural assets - valued by MoAg methodology</v>
          </cell>
        </row>
        <row r="246">
          <cell r="C246" t="str">
            <v>Pořizovací cena provozního majetku</v>
          </cell>
          <cell r="D246" t="str">
            <v>Purchase value of Operational assets</v>
          </cell>
        </row>
        <row r="247">
          <cell r="C247" t="str">
            <v>Počet pracovníků</v>
          </cell>
          <cell r="D247" t="str">
            <v>Number of employees</v>
          </cell>
        </row>
        <row r="248">
          <cell r="C248" t="str">
            <v>Nominální odpisy investic do provozního majetku v reálných cenách</v>
          </cell>
          <cell r="D248" t="str">
            <v>Nominal depreciation of Operational assets in real prices</v>
          </cell>
        </row>
        <row r="249">
          <cell r="C249" t="str">
            <v>Nominální odpisy investic do infra. majetku v reálných cenách</v>
          </cell>
          <cell r="D249" t="str">
            <v>Nominal depreciation of Infrastructural assets in real prices</v>
          </cell>
        </row>
        <row r="250">
          <cell r="C250" t="str">
            <v>Zisk před zdaněním, z toho</v>
          </cell>
          <cell r="D250" t="str">
            <v>Profit before taxes, including:</v>
          </cell>
        </row>
        <row r="251">
          <cell r="C251" t="str">
            <v>Přiměřený zisk jako % ÚVN</v>
          </cell>
          <cell r="D251" t="str">
            <v>Reasonable profit as % of Total costs</v>
          </cell>
        </row>
        <row r="252">
          <cell r="C252" t="str">
            <v>Dobrovolně snížený zisk jako % ÚVN</v>
          </cell>
          <cell r="D252" t="str">
            <v>Voluntarily decreased profit as  % of Total costs</v>
          </cell>
        </row>
        <row r="253">
          <cell r="C253" t="str">
            <v>Zisk ve vztahu ke Kalkulaci</v>
          </cell>
          <cell r="D253" t="str">
            <v>Profit related to Official MoAg Report</v>
          </cell>
        </row>
        <row r="254">
          <cell r="C254" t="str">
            <v>Přiměřený zisk po snížení před zdaněním</v>
          </cell>
          <cell r="D254" t="str">
            <v>Reasonable profit before tax after voluntary decrease</v>
          </cell>
        </row>
        <row r="255">
          <cell r="C255" t="str">
            <v>Potencionální zisk z titulu nikdy nevybraných pohledávek</v>
          </cell>
          <cell r="D255" t="str">
            <v>Potentional profit at 100% Collection rate</v>
          </cell>
        </row>
        <row r="256">
          <cell r="C256" t="str">
            <v>Kalkulační zisk</v>
          </cell>
          <cell r="D256" t="str">
            <v>Profit for Official MoAg Report</v>
          </cell>
        </row>
        <row r="257">
          <cell r="C257" t="str">
            <v>Kalkulační zisk jako % ÚVN</v>
          </cell>
          <cell r="D257" t="str">
            <v>Profit for Official MoAg Report as % of Totatl costs</v>
          </cell>
        </row>
        <row r="258">
          <cell r="C258" t="str">
            <v>ZMĚNY V REHOM</v>
          </cell>
          <cell r="D258" t="str">
            <v>CHANGES IN RAB</v>
          </cell>
        </row>
        <row r="259">
          <cell r="C259" t="str">
            <v>Skutečně uhrazená produkce</v>
          </cell>
          <cell r="D259" t="str">
            <v>Receivable production</v>
          </cell>
        </row>
        <row r="260">
          <cell r="C260" t="str">
            <v>Provozní majetek - přidělený</v>
          </cell>
          <cell r="D260" t="str">
            <v>Operational assets - apportioned</v>
          </cell>
        </row>
        <row r="261">
          <cell r="C261" t="str">
            <v>% změna v ceně</v>
          </cell>
          <cell r="D261" t="str">
            <v>% change in annual tariff</v>
          </cell>
        </row>
        <row r="262">
          <cell r="C262" t="str">
            <v>v běžných cenách</v>
          </cell>
          <cell r="D262" t="str">
            <v>current prices</v>
          </cell>
        </row>
        <row r="263">
          <cell r="C263" t="str">
            <v>provozovatele</v>
          </cell>
          <cell r="D263" t="str">
            <v>of Operator</v>
          </cell>
        </row>
        <row r="264">
          <cell r="C264" t="str">
            <v>4. Ostatní přímé náklady, 5. Provozní náklady</v>
          </cell>
          <cell r="D264" t="str">
            <v>4. Other direct costs, 5. Operational costs</v>
          </cell>
        </row>
        <row r="272">
          <cell r="C272" t="str">
            <v>bez odpisů</v>
          </cell>
          <cell r="D272" t="str">
            <v>w/o depreciation</v>
          </cell>
        </row>
        <row r="273">
          <cell r="C273" t="str">
            <v>včetně odpisů</v>
          </cell>
          <cell r="D273" t="str">
            <v>depreciation included</v>
          </cell>
        </row>
        <row r="274">
          <cell r="C274" t="str">
            <v>k tomu odpisy</v>
          </cell>
          <cell r="D274" t="str">
            <v>plus depreciation</v>
          </cell>
        </row>
        <row r="275">
          <cell r="C275" t="str">
            <v>Úprava o finanční náklady a výnosy</v>
          </cell>
          <cell r="D275" t="str">
            <v>Adjustment for financial costs and revenues</v>
          </cell>
        </row>
        <row r="276">
          <cell r="C276" t="str">
            <v>Vstup odpisů Provozního majetku do ceny</v>
          </cell>
          <cell r="D276" t="str">
            <v>Influence of Operational assets depreciation on price</v>
          </cell>
        </row>
        <row r="277">
          <cell r="C277" t="str">
            <v>v rámci zadání provozních nákladů uživatelem</v>
          </cell>
          <cell r="D277" t="str">
            <v>within the OPEX users input</v>
          </cell>
        </row>
        <row r="278">
          <cell r="C278" t="str">
            <v>automatickým výpočtem Modelu</v>
          </cell>
          <cell r="D278" t="str">
            <v>by automatic Model calculation</v>
          </cell>
        </row>
        <row r="279">
          <cell r="C279" t="str">
            <v>Smluvní minimální výše oprav s charakterem obnovy</v>
          </cell>
          <cell r="D279" t="str">
            <v>The agreed minimal renewal repairs</v>
          </cell>
        </row>
        <row r="281">
          <cell r="C281" t="str">
            <v>English</v>
          </cell>
          <cell r="D281" t="str">
            <v>Czech</v>
          </cell>
        </row>
        <row r="282">
          <cell r="C282" t="str">
            <v>Name of Owner</v>
          </cell>
          <cell r="D282" t="str">
            <v>Název vlastníka</v>
          </cell>
        </row>
        <row r="283">
          <cell r="C283" t="str">
            <v>Person in charge</v>
          </cell>
          <cell r="D283" t="str">
            <v>Zodpovědná osoba</v>
          </cell>
        </row>
        <row r="284">
          <cell r="C284" t="str">
            <v>Name of Operator</v>
          </cell>
          <cell r="D284" t="str">
            <v>Název provozovatele</v>
          </cell>
        </row>
        <row r="285">
          <cell r="C285" t="str">
            <v>Person in charge</v>
          </cell>
          <cell r="D285" t="str">
            <v>Zodpovědná osoba</v>
          </cell>
        </row>
        <row r="286">
          <cell r="C286" t="str">
            <v>Contact address</v>
          </cell>
          <cell r="D286" t="str">
            <v>Kontaktní adresa</v>
          </cell>
        </row>
        <row r="287">
          <cell r="C287" t="str">
            <v>Telephone number</v>
          </cell>
          <cell r="D287" t="str">
            <v>Telefonní číslo</v>
          </cell>
        </row>
        <row r="288">
          <cell r="C288" t="str">
            <v>Fax number</v>
          </cell>
          <cell r="D288" t="str">
            <v>Fax</v>
          </cell>
        </row>
        <row r="289">
          <cell r="C289" t="str">
            <v>E-mail</v>
          </cell>
          <cell r="D289" t="str">
            <v>E-mail</v>
          </cell>
        </row>
        <row r="290">
          <cell r="C290" t="str">
            <v>Completed by</v>
          </cell>
          <cell r="D290" t="str">
            <v>Vyplnil</v>
          </cell>
        </row>
        <row r="291">
          <cell r="C291" t="str">
            <v>Financial Model for Water Sector Owners and Operators</v>
          </cell>
          <cell r="D291" t="str">
            <v>Finanční model pro vlastníky a provozovatele vodohospodářské infrastruktury</v>
          </cell>
        </row>
        <row r="292">
          <cell r="C292" t="str">
            <v>This project is co-financed by the European Union</v>
          </cell>
          <cell r="D292" t="str">
            <v>Tento projekt je spolufinancován Evropskou unií</v>
          </cell>
        </row>
        <row r="293">
          <cell r="C293" t="str">
            <v>Project Reference Data</v>
          </cell>
          <cell r="D293" t="str">
            <v>Identifikační údaje</v>
          </cell>
        </row>
        <row r="294">
          <cell r="C294" t="str">
            <v>Infrastructure Owner</v>
          </cell>
          <cell r="D294" t="str">
            <v>Vlastník infrastruktury</v>
          </cell>
        </row>
        <row r="295">
          <cell r="C295" t="str">
            <v>Infrastructure Operator</v>
          </cell>
          <cell r="D295" t="str">
            <v>Provozovatel infrastruktury</v>
          </cell>
        </row>
        <row r="296">
          <cell r="C296" t="str">
            <v>Version</v>
          </cell>
          <cell r="D296" t="str">
            <v>Verze</v>
          </cell>
        </row>
        <row r="297">
          <cell r="C297" t="str">
            <v>Date</v>
          </cell>
          <cell r="D297" t="str">
            <v>Datum</v>
          </cell>
        </row>
        <row r="298">
          <cell r="C298" t="str">
            <v>developed under contract for the project 'Financial and technical consultancy for SEF CR and MoE in the implementation of Annex 7 OPE'</v>
          </cell>
          <cell r="D298" t="str">
            <v>vypracován v rámci zakázky "Zajišťování finančně-technického poradenství pro SFŽP ČR a MŽP při implementaci přílohy č.7 OP ŽP"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Info"/>
      <sheetName val="Spolecne vstupy"/>
      <sheetName val="PV ex ante"/>
      <sheetName val="PV ex post"/>
      <sheetName val="PV výpočty"/>
      <sheetName val="PV platba"/>
      <sheetName val="OV ex ante"/>
      <sheetName val="OV ex post"/>
      <sheetName val="OV výpočty"/>
      <sheetName val="OV platba"/>
      <sheetName val="Kalkulace"/>
      <sheetName val="Kalkulace výpočty"/>
      <sheetName val="Slovní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C1">
            <v>1</v>
          </cell>
        </row>
        <row r="4">
          <cell r="C4" t="str">
            <v>rok</v>
          </cell>
          <cell r="D4" t="str">
            <v>year</v>
          </cell>
        </row>
        <row r="5">
          <cell r="C5" t="str">
            <v>Cenové indexy</v>
          </cell>
          <cell r="D5" t="str">
            <v>Price indices</v>
          </cell>
        </row>
        <row r="6">
          <cell r="C6" t="str">
            <v>Vstupy</v>
          </cell>
          <cell r="D6" t="str">
            <v>Inputs</v>
          </cell>
        </row>
        <row r="7">
          <cell r="C7" t="str">
            <v>Současný rok</v>
          </cell>
          <cell r="D7" t="str">
            <v>Current Year</v>
          </cell>
        </row>
        <row r="8">
          <cell r="C8" t="str">
            <v>Délka trvání cenové fixace</v>
          </cell>
          <cell r="D8" t="str">
            <v>Duration of Price Control Period</v>
          </cell>
        </row>
        <row r="9">
          <cell r="C9" t="str">
            <v>Zbývající délka smlouvy</v>
          </cell>
          <cell r="D9" t="str">
            <v>Remaining contract life</v>
          </cell>
        </row>
        <row r="10">
          <cell r="C10" t="str">
            <v>Požadované VaPNaK</v>
          </cell>
          <cell r="D10" t="str">
            <v>Required WACC</v>
          </cell>
        </row>
        <row r="11">
          <cell r="C11" t="str">
            <v>Základní hodnota</v>
          </cell>
          <cell r="D11" t="str">
            <v>Base Value</v>
          </cell>
        </row>
        <row r="12">
          <cell r="C12" t="str">
            <v>Upravená hodnota (pro provozní společnost)</v>
          </cell>
          <cell r="D12" t="str">
            <v>Adjusted value of WACC (for Operator)</v>
          </cell>
        </row>
        <row r="13">
          <cell r="C13" t="str">
            <v>Odhad roční inflace</v>
          </cell>
          <cell r="D13" t="str">
            <v>Forecast inflation</v>
          </cell>
        </row>
        <row r="14">
          <cell r="C14" t="str">
            <v>Cenový index</v>
          </cell>
          <cell r="D14" t="str">
            <v>Inflation index</v>
          </cell>
        </row>
        <row r="15">
          <cell r="C15" t="str">
            <v>Výchozí rok</v>
          </cell>
          <cell r="D15" t="str">
            <v>Base Year</v>
          </cell>
        </row>
        <row r="16">
          <cell r="C16" t="str">
            <v>První období cenové fixace</v>
          </cell>
          <cell r="D16" t="str">
            <v>1st price control period</v>
          </cell>
        </row>
        <row r="17">
          <cell r="C17" t="str">
            <v>Druhé období cenové fixace</v>
          </cell>
          <cell r="D17" t="str">
            <v>2nd price control period</v>
          </cell>
        </row>
        <row r="18">
          <cell r="C18" t="str">
            <v>Vstupy z externích modulů</v>
          </cell>
          <cell r="D18" t="str">
            <v>Inputs from off model modules</v>
          </cell>
        </row>
        <row r="19">
          <cell r="C19" t="str">
            <v>Přímé uživatelské vstupy</v>
          </cell>
          <cell r="D19" t="str">
            <v>Direct inputs</v>
          </cell>
        </row>
        <row r="20">
          <cell r="C20" t="str">
            <v>Přepis předvolených hodnot</v>
          </cell>
          <cell r="D20" t="str">
            <v>User input - overriding default approach</v>
          </cell>
        </row>
        <row r="21">
          <cell r="C21" t="str">
            <v>Údaje mimo modelované období</v>
          </cell>
          <cell r="D21" t="str">
            <v>Data outside time period of relevance</v>
          </cell>
        </row>
        <row r="22">
          <cell r="C22" t="str">
            <v>Takto označené řádky vyžadují některé Přímé uživatelské vstupy</v>
          </cell>
          <cell r="D22" t="str">
            <v>The rows introduced by this sign require some Direct inputs</v>
          </cell>
        </row>
        <row r="23">
          <cell r="C23" t="str">
            <v>Nájemné</v>
          </cell>
          <cell r="D23" t="str">
            <v>Rent</v>
          </cell>
        </row>
        <row r="24">
          <cell r="C24" t="str">
            <v>Výroba</v>
          </cell>
          <cell r="D24" t="str">
            <v>Production</v>
          </cell>
        </row>
        <row r="25">
          <cell r="C25" t="str">
            <v>Voda vyčištěná (vlastní ČOV)</v>
          </cell>
          <cell r="D25" t="str">
            <v>Volume treated by own WWTP</v>
          </cell>
        </row>
        <row r="26">
          <cell r="C26" t="str">
            <v>Voda vyčištěná (jiná ČOV)</v>
          </cell>
          <cell r="D26" t="str">
            <v>Volume treated by other WWTP</v>
          </cell>
        </row>
        <row r="27">
          <cell r="C27" t="str">
            <v>Objem vody vyčištěné</v>
          </cell>
          <cell r="D27" t="str">
            <v>Volume treated</v>
          </cell>
        </row>
        <row r="28">
          <cell r="C28" t="str">
            <v xml:space="preserve"> - objem vody vyrobené</v>
          </cell>
          <cell r="D28" t="str">
            <v xml:space="preserve"> - volume produced</v>
          </cell>
        </row>
        <row r="29">
          <cell r="C29" t="str">
            <v xml:space="preserve"> - objem vody převzaté</v>
          </cell>
          <cell r="D29" t="str">
            <v xml:space="preserve"> - volume purchased in bulk</v>
          </cell>
        </row>
        <row r="30">
          <cell r="C30" t="str">
            <v xml:space="preserve"> - objem vody předané</v>
          </cell>
          <cell r="D30" t="str">
            <v xml:space="preserve"> - volume sold in bulk</v>
          </cell>
        </row>
        <row r="31">
          <cell r="C31" t="str">
            <v>Voda k realizaci</v>
          </cell>
          <cell r="D31" t="str">
            <v>Total input water</v>
          </cell>
        </row>
        <row r="32">
          <cell r="C32" t="str">
            <v xml:space="preserve"> - domácnosti</v>
          </cell>
          <cell r="D32" t="str">
            <v xml:space="preserve"> - households</v>
          </cell>
        </row>
        <row r="33">
          <cell r="C33" t="str">
            <v xml:space="preserve"> - ostatní</v>
          </cell>
          <cell r="D33" t="str">
            <v xml:space="preserve"> - non-households</v>
          </cell>
        </row>
        <row r="34">
          <cell r="C34" t="str">
            <v>(včetně dešťové)</v>
          </cell>
          <cell r="D34" t="str">
            <v>(rainwater included)</v>
          </cell>
        </row>
        <row r="35">
          <cell r="C35" t="str">
            <v>Objem vody dodané - celkem</v>
          </cell>
          <cell r="D35" t="str">
            <v>Total volume supplied</v>
          </cell>
        </row>
        <row r="36">
          <cell r="C36" t="str">
            <v>Objem vody odvedené</v>
          </cell>
          <cell r="D36" t="str">
            <v>Volume collected</v>
          </cell>
        </row>
        <row r="37">
          <cell r="C37" t="str">
            <v>Voda odpadní odváděná fakturovatelná</v>
          </cell>
          <cell r="D37" t="str">
            <v>Wastewater collected and billed</v>
          </cell>
        </row>
        <row r="38">
          <cell r="C38" t="str">
            <v>Úspěšnost výběru pohledávek</v>
          </cell>
          <cell r="D38" t="str">
            <v>Collection Rate</v>
          </cell>
        </row>
        <row r="39">
          <cell r="C39" t="str">
            <v>Vstupní ReHoM</v>
          </cell>
          <cell r="D39" t="str">
            <v>Initial RAB</v>
          </cell>
        </row>
        <row r="40">
          <cell r="C40" t="str">
            <v>Infrastrukturní majetek</v>
          </cell>
          <cell r="D40" t="str">
            <v>Infrastructure assets</v>
          </cell>
        </row>
        <row r="41">
          <cell r="C41" t="str">
            <v>Provozní majetek</v>
          </cell>
          <cell r="D41" t="str">
            <v>Operational assets</v>
          </cell>
        </row>
        <row r="42">
          <cell r="C42" t="str">
            <v>Účetní odpisy stávajícího majetku</v>
          </cell>
          <cell r="D42" t="str">
            <v>Accounting depreciation for existing assets</v>
          </cell>
        </row>
        <row r="43">
          <cell r="C43" t="str">
            <v>Odpisy infrastrukturního majetku</v>
          </cell>
          <cell r="D43" t="str">
            <v>Depreciation of infrastructure assets</v>
          </cell>
        </row>
        <row r="44">
          <cell r="C44" t="str">
            <v>Odpisy provozního majetku</v>
          </cell>
          <cell r="D44" t="str">
            <v>Depreciation of operartional assets</v>
          </cell>
        </row>
        <row r="45">
          <cell r="C45" t="str">
            <v>Regulatorní odpisy stávajícího majetku</v>
          </cell>
          <cell r="D45" t="str">
            <v>Regulatory depreciation for existing assets</v>
          </cell>
        </row>
        <row r="46">
          <cell r="C46" t="str">
            <v>Investiční náklady</v>
          </cell>
          <cell r="D46" t="str">
            <v>Capex</v>
          </cell>
        </row>
        <row r="47">
          <cell r="C47" t="str">
            <v>Odpisy plánovaných investic</v>
          </cell>
          <cell r="D47" t="str">
            <v>Depreciation for planned capex</v>
          </cell>
        </row>
        <row r="48">
          <cell r="C48" t="str">
            <v>(za celou společnost)</v>
          </cell>
          <cell r="D48" t="str">
            <v>(whole company)</v>
          </cell>
        </row>
        <row r="49">
          <cell r="C49" t="str">
            <v xml:space="preserve"> jako % vstupní ceny</v>
          </cell>
          <cell r="D49" t="str">
            <v xml:space="preserve"> as % of original Capex</v>
          </cell>
        </row>
        <row r="50">
          <cell r="C50" t="str">
            <v>Přidělení provozního majetku na danou službu</v>
          </cell>
          <cell r="D50" t="str">
            <v>Apportionment of operational assets to contract</v>
          </cell>
        </row>
        <row r="51">
          <cell r="C51" t="str">
            <v>Odprodej majetku</v>
          </cell>
          <cell r="D51" t="str">
            <v>Asset disposals</v>
          </cell>
        </row>
        <row r="52">
          <cell r="C52" t="str">
            <v>Zásoby</v>
          </cell>
          <cell r="D52" t="str">
            <v>Inventory</v>
          </cell>
        </row>
        <row r="53">
          <cell r="C53" t="str">
            <v>Zbývající předplacené nájemné</v>
          </cell>
          <cell r="D53" t="str">
            <v>Outstanding pre-paid rent and loans</v>
          </cell>
        </row>
        <row r="54">
          <cell r="C54" t="str">
            <v>Zbývající Očekávání</v>
          </cell>
          <cell r="D54" t="str">
            <v>Outstanding Expectations</v>
          </cell>
        </row>
        <row r="55">
          <cell r="C55" t="str">
            <v>Provozní náklady</v>
          </cell>
          <cell r="D55" t="str">
            <v>Opex</v>
          </cell>
        </row>
        <row r="56">
          <cell r="C56" t="str">
            <v>1. Materiál</v>
          </cell>
          <cell r="D56" t="str">
            <v>1. Material</v>
          </cell>
        </row>
        <row r="57">
          <cell r="C57" t="str">
            <v>1.1 surová voda podzemní + povrchová</v>
          </cell>
          <cell r="D57" t="str">
            <v>1.1 raw water - surface and groundwater</v>
          </cell>
        </row>
        <row r="58">
          <cell r="C58" t="str">
            <v>1.2 pitná voda převzatá + odpadní voda předaná k čištění</v>
          </cell>
          <cell r="D58" t="str">
            <v xml:space="preserve">1.2 drinking water purchased in bulk and wastewater </v>
          </cell>
        </row>
        <row r="59">
          <cell r="C59" t="str">
            <v>1.3 chemikálie</v>
          </cell>
          <cell r="D59" t="str">
            <v>1.3 chemicals</v>
          </cell>
        </row>
        <row r="60">
          <cell r="C60" t="str">
            <v>1.4 ostatní materiál</v>
          </cell>
          <cell r="D60" t="str">
            <v>1.4 other material</v>
          </cell>
        </row>
        <row r="61">
          <cell r="C61" t="str">
            <v>2. Energie</v>
          </cell>
          <cell r="D61" t="str">
            <v>2. Energy</v>
          </cell>
        </row>
        <row r="62">
          <cell r="C62" t="str">
            <v>2.1 elektrická energie</v>
          </cell>
          <cell r="D62" t="str">
            <v>2.1 electrical energy</v>
          </cell>
        </row>
        <row r="63">
          <cell r="C63" t="str">
            <v>2.2 ostatní energie (plyn, pevná a kapalná paliva)</v>
          </cell>
          <cell r="D63" t="str">
            <v>2.2 other energy (gaseous, solid and liquid fuels)</v>
          </cell>
        </row>
        <row r="64">
          <cell r="C64" t="str">
            <v>3. Mzdy</v>
          </cell>
          <cell r="D64" t="str">
            <v>3. Wages</v>
          </cell>
        </row>
        <row r="65">
          <cell r="C65" t="str">
            <v>3.1 přímé mzdy</v>
          </cell>
          <cell r="D65" t="str">
            <v>3.1 direct wages</v>
          </cell>
        </row>
        <row r="66">
          <cell r="C66" t="str">
            <v>3.2 ostatní osobní náklady</v>
          </cell>
          <cell r="D66" t="str">
            <v>3.2 other staff costs</v>
          </cell>
        </row>
        <row r="67">
          <cell r="C67" t="str">
            <v>4. Ostatní přímé náklady</v>
          </cell>
          <cell r="D67" t="str">
            <v>4. Other direct costs</v>
          </cell>
        </row>
        <row r="68">
          <cell r="C68" t="str">
            <v>4.1 odpisy a prostředky obnovy infrastrukturního majetku - pouze historické údaje!</v>
          </cell>
          <cell r="D68" t="str">
            <v>4.1 depreciation charges and funds for the renewal of infrastructural assets - historical data only!</v>
          </cell>
        </row>
        <row r="69">
          <cell r="C69" t="str">
            <v>4.2 opravy infrastrukturního majetku</v>
          </cell>
          <cell r="D69" t="str">
            <v>4.2 repairs to infrastructural assets</v>
          </cell>
        </row>
        <row r="70">
          <cell r="C70" t="str">
            <v>4.3 nájem infrastrukturního majetku - pouze historické údaje!</v>
          </cell>
          <cell r="D70" t="str">
            <v>4.3 rental of infrastructural assets - historical data only!</v>
          </cell>
        </row>
        <row r="71">
          <cell r="C71" t="str">
            <v>4.4 poplatky za vypouštění odpadních vod</v>
          </cell>
          <cell r="D71" t="str">
            <v>4.4 wastewater discharge fees</v>
          </cell>
        </row>
        <row r="72">
          <cell r="C72" t="str">
            <v>4.5 ostatní provozní náklady externí</v>
          </cell>
          <cell r="D72" t="str">
            <v>4.5 other operating costs - external</v>
          </cell>
        </row>
        <row r="73">
          <cell r="C73" t="str">
            <v>4.6 ostatní provozní náklady ve vlastní režii</v>
          </cell>
          <cell r="D73" t="str">
            <v>4.6 other own operating costs</v>
          </cell>
        </row>
        <row r="74">
          <cell r="C74" t="str">
            <v>5. Finanční náklady</v>
          </cell>
          <cell r="D74" t="str">
            <v>5. Financial costs - historical data only!</v>
          </cell>
        </row>
        <row r="75">
          <cell r="C75" t="str">
            <v>6. Výrobní režie</v>
          </cell>
          <cell r="D75" t="str">
            <v>6. Production overheads</v>
          </cell>
        </row>
        <row r="76">
          <cell r="C76" t="str">
            <v>z toho odpisy</v>
          </cell>
          <cell r="D76" t="str">
            <v>of which depreciation</v>
          </cell>
        </row>
        <row r="77">
          <cell r="C77" t="str">
            <v>7. Správní režie</v>
          </cell>
          <cell r="D77" t="str">
            <v>7. Administrative overheads</v>
          </cell>
        </row>
        <row r="78">
          <cell r="C78" t="str">
            <v>Celkové vlastní náklady dle kalkulace</v>
          </cell>
          <cell r="D78" t="str">
            <v>Total own costs following calculation</v>
          </cell>
        </row>
        <row r="79">
          <cell r="C79" t="str">
            <v>Celkové vlastní náklady kromě odpisů, nájemného a finančních nákladů</v>
          </cell>
          <cell r="D79" t="str">
            <v>Total own costs excluding depreciation, rent paid to asset owner and financial costs</v>
          </cell>
        </row>
        <row r="80">
          <cell r="C80" t="str">
            <v>Daň z příjmu právnických osob</v>
          </cell>
          <cell r="D80" t="str">
            <v>Corporation tax</v>
          </cell>
        </row>
        <row r="81">
          <cell r="C81" t="str">
            <v>tis. Kč</v>
          </cell>
          <cell r="D81" t="str">
            <v>thou. CZK</v>
          </cell>
        </row>
        <row r="82">
          <cell r="C82" t="str">
            <v>tis. m3/rok</v>
          </cell>
          <cell r="D82" t="str">
            <v>thou. m3/yr</v>
          </cell>
        </row>
        <row r="83">
          <cell r="C83" t="str">
            <v>roky</v>
          </cell>
          <cell r="D83" t="str">
            <v>yrs</v>
          </cell>
        </row>
        <row r="84">
          <cell r="C84" t="str">
            <v>Pracovní kapitál</v>
          </cell>
          <cell r="D84" t="str">
            <v>Working capital</v>
          </cell>
        </row>
        <row r="85">
          <cell r="C85" t="str">
            <v>Očekávání</v>
          </cell>
          <cell r="D85" t="str">
            <v>Expectations</v>
          </cell>
        </row>
        <row r="86">
          <cell r="C86" t="str">
            <v>ReHoK celkem</v>
          </cell>
          <cell r="D86" t="str">
            <v>Total RCV</v>
          </cell>
        </row>
        <row r="87">
          <cell r="C87" t="str">
            <v xml:space="preserve">Požadovaný příjem </v>
          </cell>
          <cell r="D87" t="str">
            <v>Required revenue</v>
          </cell>
        </row>
        <row r="88">
          <cell r="C88" t="str">
            <v>Odpisy - nominální</v>
          </cell>
          <cell r="D88" t="str">
            <v>Depreciation - nominal</v>
          </cell>
        </row>
        <row r="89">
          <cell r="C89" t="str">
            <v>Úprava odpisů o inflaci</v>
          </cell>
          <cell r="D89" t="str">
            <v>Depreciation adjustment for real</v>
          </cell>
        </row>
        <row r="90">
          <cell r="C90" t="str">
            <v>Výnos z ReHoK bez Očekávání</v>
          </cell>
          <cell r="D90" t="str">
            <v>Return on RCV w/o Expectations</v>
          </cell>
        </row>
        <row r="91">
          <cell r="C91" t="str">
            <v>Návratnost Očekávání</v>
          </cell>
          <cell r="D91" t="str">
            <v>Return of Expectations</v>
          </cell>
        </row>
        <row r="92">
          <cell r="C92" t="str">
            <v>Výnos z Očekávání</v>
          </cell>
          <cell r="D92" t="str">
            <v>Return on Expectations</v>
          </cell>
        </row>
        <row r="93">
          <cell r="C93" t="str">
            <v>Celkový Požadovaný příjem</v>
          </cell>
          <cell r="D93" t="str">
            <v>Total required revenue</v>
          </cell>
        </row>
        <row r="94">
          <cell r="C94" t="str">
            <v>Průměrná reálná cena založená na Požadovaném příjmu</v>
          </cell>
          <cell r="D94" t="str">
            <v>Average real price based on required revenue</v>
          </cell>
        </row>
        <row r="95">
          <cell r="C95" t="str">
            <v>Průměrná nomin. cena založená na Požadovaném příjmu</v>
          </cell>
          <cell r="D95" t="str">
            <v>Average nominal price based on required revenue</v>
          </cell>
        </row>
        <row r="96">
          <cell r="C96" t="str">
            <v>POVOLENÝ PŘÍJEM (pokud je relevantní)</v>
          </cell>
          <cell r="D96" t="str">
            <v>ALLOWED REVENUE (if relevant)</v>
          </cell>
        </row>
        <row r="97">
          <cell r="C97" t="str">
            <v>Průměrná reálná cena založená na Povoleném příjmu</v>
          </cell>
          <cell r="D97" t="str">
            <v>Average real price based on allowed revenue</v>
          </cell>
        </row>
        <row r="98">
          <cell r="C98" t="str">
            <v>Průměrná nominální cena založená na Povoleném příjmu</v>
          </cell>
          <cell r="D98" t="str">
            <v>Average nominal price based on allowed revenue</v>
          </cell>
        </row>
        <row r="99">
          <cell r="C99" t="str">
            <v>Kč/m3</v>
          </cell>
          <cell r="D99" t="str">
            <v>CZK/m3</v>
          </cell>
        </row>
        <row r="100">
          <cell r="C100" t="str">
            <v>Počáteční hodnota</v>
          </cell>
          <cell r="D100" t="str">
            <v>Opening value</v>
          </cell>
        </row>
        <row r="101">
          <cell r="C101" t="str">
            <v>Odpisy</v>
          </cell>
          <cell r="D101" t="str">
            <v>Depreciation</v>
          </cell>
        </row>
        <row r="102">
          <cell r="C102" t="str">
            <v>Odprodej</v>
          </cell>
          <cell r="D102" t="str">
            <v>Disposals</v>
          </cell>
        </row>
        <row r="103">
          <cell r="C103" t="str">
            <v>Investice</v>
          </cell>
          <cell r="D103" t="str">
            <v>New Investments</v>
          </cell>
        </row>
        <row r="104">
          <cell r="C104" t="str">
            <v>Odpisy investic</v>
          </cell>
          <cell r="D104" t="str">
            <v>Depriciation of investments</v>
          </cell>
        </row>
        <row r="105">
          <cell r="C105" t="str">
            <v>Konečná hodnota</v>
          </cell>
          <cell r="D105" t="str">
            <v>Closing value</v>
          </cell>
        </row>
        <row r="106">
          <cell r="C106" t="str">
            <v>Pracovní kapitál do budoucna</v>
          </cell>
          <cell r="D106" t="str">
            <v>Forecast Working Capital</v>
          </cell>
        </row>
        <row r="107">
          <cell r="C107" t="str">
            <v>Odhad obratu pro danou službu</v>
          </cell>
          <cell r="D107" t="str">
            <v>Forecast turnover for given service</v>
          </cell>
        </row>
        <row r="108">
          <cell r="C108" t="str">
            <v>Odhad provozních nákladů pro danou službu</v>
          </cell>
          <cell r="D108" t="str">
            <v>Forecast operating costs for given service</v>
          </cell>
        </row>
        <row r="109">
          <cell r="C109" t="str">
            <v>Zásoby vztahující se k dané službě</v>
          </cell>
          <cell r="D109" t="str">
            <v>Inventory employed for given service</v>
          </cell>
        </row>
        <row r="110">
          <cell r="C110" t="str">
            <v>Částečná potřeba Pracovního kapitálu</v>
          </cell>
          <cell r="D110" t="str">
            <v>Part of Working capital needs</v>
          </cell>
        </row>
        <row r="111">
          <cell r="C111" t="str">
            <v>Provozní - účetní odpisy v reálných cenách</v>
          </cell>
          <cell r="D111" t="str">
            <v>Operational - accounting depreciation in real prices</v>
          </cell>
        </row>
        <row r="112">
          <cell r="C112" t="str">
            <v>Infrastrukturní - účetní odpisy v reálných cenách</v>
          </cell>
          <cell r="D112" t="str">
            <v>Infrastructure - accounting depreciation in real prices</v>
          </cell>
        </row>
        <row r="113">
          <cell r="C113" t="str">
            <v>Reálné odpisy</v>
          </cell>
          <cell r="D113" t="str">
            <v>Real depreciation</v>
          </cell>
        </row>
        <row r="114">
          <cell r="C114" t="str">
            <v>Úprava o inflaci</v>
          </cell>
          <cell r="D114" t="str">
            <v>Adjustment for real</v>
          </cell>
        </row>
        <row r="115">
          <cell r="C115" t="str">
            <v xml:space="preserve"> - výnos z Očekávání</v>
          </cell>
          <cell r="D115" t="str">
            <v xml:space="preserve"> - return on Expectations</v>
          </cell>
        </row>
        <row r="116">
          <cell r="C116" t="str">
            <v xml:space="preserve"> - návratnost Očekávání</v>
          </cell>
          <cell r="D116" t="str">
            <v xml:space="preserve"> - return of Expectations</v>
          </cell>
        </row>
        <row r="117">
          <cell r="C117" t="str">
            <v xml:space="preserve"> - výnos a návratnost z Očekávání</v>
          </cell>
          <cell r="D117" t="str">
            <v xml:space="preserve"> - return on and of Expectations</v>
          </cell>
        </row>
        <row r="118">
          <cell r="C118" t="str">
            <v>výpočty</v>
          </cell>
          <cell r="D118" t="str">
            <v>calculation</v>
          </cell>
        </row>
        <row r="119">
          <cell r="C119" t="str">
            <v>Index růstu cen</v>
          </cell>
          <cell r="D119" t="str">
            <v>Index for tariff increas</v>
          </cell>
        </row>
        <row r="120">
          <cell r="C120" t="str">
            <v>Diskontovaný objem produkce indexovaný cenovým růstem</v>
          </cell>
          <cell r="D120" t="str">
            <v>Indexed discounted receivable production</v>
          </cell>
        </row>
        <row r="121">
          <cell r="C121" t="str">
            <v>Cena</v>
          </cell>
          <cell r="D121" t="str">
            <v>Annual water tariff</v>
          </cell>
        </row>
        <row r="122">
          <cell r="C122" t="str">
            <v>Přepínače</v>
          </cell>
          <cell r="D122" t="str">
            <v>Switches</v>
          </cell>
        </row>
        <row r="123">
          <cell r="C123" t="str">
            <v>Nájemné</v>
          </cell>
          <cell r="D123" t="str">
            <v>Rent</v>
          </cell>
        </row>
        <row r="124">
          <cell r="C124" t="str">
            <v>Vodné</v>
          </cell>
          <cell r="D124" t="str">
            <v>Drinking water</v>
          </cell>
        </row>
        <row r="125">
          <cell r="C125" t="str">
            <v>Stočné</v>
          </cell>
          <cell r="D125" t="str">
            <v>Wastewater</v>
          </cell>
        </row>
        <row r="126">
          <cell r="C126" t="str">
            <v>Investiční výdaje dle Plánu financování obnovy</v>
          </cell>
          <cell r="D126" t="str">
            <v>Investments from Asset Renewal Plan</v>
          </cell>
        </row>
        <row r="127">
          <cell r="C127" t="str">
            <v>Finanční potřeba vlastníka</v>
          </cell>
          <cell r="D127" t="str">
            <v>Owner's financial needs</v>
          </cell>
        </row>
        <row r="128">
          <cell r="C128" t="str">
            <v>Provozní náklady vlastníka</v>
          </cell>
          <cell r="D128" t="str">
            <v>Owner's opex</v>
          </cell>
        </row>
        <row r="129">
          <cell r="C129" t="str">
            <v>Celková dluhová služba vlastníka</v>
          </cell>
          <cell r="D129" t="str">
            <v>Owner's total debt service payments</v>
          </cell>
        </row>
        <row r="130">
          <cell r="C130" t="str">
            <v xml:space="preserve"> z toho jistina</v>
          </cell>
          <cell r="D130" t="str">
            <v xml:space="preserve"> of which principal</v>
          </cell>
        </row>
        <row r="131">
          <cell r="C131" t="str">
            <v xml:space="preserve"> z toho úroky</v>
          </cell>
          <cell r="D131" t="str">
            <v xml:space="preserve"> of which interest</v>
          </cell>
        </row>
        <row r="132">
          <cell r="C132" t="str">
            <v>Očekávané daňové povinnosti vlastníka</v>
          </cell>
          <cell r="D132" t="str">
            <v>Owner's expected tax obligations</v>
          </cell>
        </row>
        <row r="133">
          <cell r="C133" t="str">
            <v>Smluvní investice ze strany provozovatele</v>
          </cell>
          <cell r="D133" t="str">
            <v>Operator's investment in infrastructure assets</v>
          </cell>
        </row>
        <row r="134">
          <cell r="C134" t="str">
            <v>Financováno z dotací</v>
          </cell>
          <cell r="D134" t="str">
            <v>Grant finance</v>
          </cell>
        </row>
        <row r="135">
          <cell r="C135" t="str">
            <v>Financováno z úvěru</v>
          </cell>
          <cell r="D135" t="str">
            <v>Debt finance</v>
          </cell>
        </row>
        <row r="136">
          <cell r="C136" t="str">
            <v>Potřeba vlastních zdrojů na obnovu a rozšíření</v>
          </cell>
          <cell r="D136" t="str">
            <v>Financed from own sources</v>
          </cell>
        </row>
        <row r="137">
          <cell r="C137" t="str">
            <v>Investiční výdaje na nové investice nad obnovu</v>
          </cell>
          <cell r="D137" t="str">
            <v>Investments over renewal plan</v>
          </cell>
        </row>
        <row r="138">
          <cell r="C138" t="str">
            <v>Celková roční potřeba vlastních zdrojů</v>
          </cell>
          <cell r="D138" t="str">
            <v>Total annual need of own sources</v>
          </cell>
        </row>
        <row r="139">
          <cell r="C139" t="str">
            <v>Příjem vlastníka</v>
          </cell>
          <cell r="D139" t="str">
            <v>Owner's revenue</v>
          </cell>
        </row>
        <row r="140">
          <cell r="C140" t="str">
            <v>Nájem z vodného</v>
          </cell>
          <cell r="D140" t="str">
            <v xml:space="preserve">Drinking water rent </v>
          </cell>
        </row>
        <row r="141">
          <cell r="C141" t="str">
            <v>Nájem ze stočného</v>
          </cell>
          <cell r="D141" t="str">
            <v xml:space="preserve">Wastewater rent </v>
          </cell>
        </row>
        <row r="142">
          <cell r="C142" t="str">
            <v>Celkem</v>
          </cell>
          <cell r="D142" t="str">
            <v>Total</v>
          </cell>
        </row>
        <row r="143">
          <cell r="C143" t="str">
            <v>Roční potřeba vlastních zdrojů na vodné</v>
          </cell>
          <cell r="D143" t="str">
            <v>Annual requirement for own sources - DW</v>
          </cell>
        </row>
        <row r="144">
          <cell r="C144" t="str">
            <v>Roční potřeba vlastních zdrojů na stočné</v>
          </cell>
          <cell r="D144" t="str">
            <v>Annual requirement for own sources - WW</v>
          </cell>
        </row>
        <row r="145">
          <cell r="C145" t="str">
            <v>Příspěvek vlastníka</v>
          </cell>
          <cell r="D145" t="str">
            <v>Owner's contribution</v>
          </cell>
        </row>
        <row r="146">
          <cell r="C146" t="str">
            <v>Stav účtu hotovosti vlastníka ke konci roku</v>
          </cell>
          <cell r="D146" t="str">
            <v>State of owner's cash balance at start of year</v>
          </cell>
        </row>
        <row r="147">
          <cell r="C147" t="str">
            <v>ÚČET HOTOVOSTI VLASTNÍKA</v>
          </cell>
          <cell r="D147" t="str">
            <v>OWNER'S CASH BALANCE</v>
          </cell>
        </row>
        <row r="148">
          <cell r="C148" t="str">
            <v>Nájemné plus příspěvek vlastníka mínus výdaje</v>
          </cell>
          <cell r="D148" t="str">
            <v>Rent plus owner's contribution minus expenditure</v>
          </cell>
        </row>
        <row r="149">
          <cell r="C149" t="str">
            <v>(vybraná varianta)</v>
          </cell>
          <cell r="D149" t="str">
            <v>(chosen alternative)</v>
          </cell>
        </row>
        <row r="150">
          <cell r="C150" t="str">
            <v>Zbývající prvky ReHoK</v>
          </cell>
          <cell r="D150" t="str">
            <v>The rest of RCV elements</v>
          </cell>
        </row>
        <row r="151">
          <cell r="C151" t="str">
            <v>sazba</v>
          </cell>
          <cell r="D151" t="str">
            <v>rate</v>
          </cell>
        </row>
        <row r="152">
          <cell r="C152" t="str">
            <v>Základ</v>
          </cell>
          <cell r="D152" t="str">
            <v>Base</v>
          </cell>
        </row>
        <row r="153">
          <cell r="C153" t="str">
            <v>VÝSTUPY ZA OBĚ SLOŽKY DOHROMADY</v>
          </cell>
          <cell r="D153" t="str">
            <v>TOTAL OUTPUTS</v>
          </cell>
        </row>
        <row r="154">
          <cell r="C154" t="str">
            <v xml:space="preserve"> celkem</v>
          </cell>
          <cell r="D154" t="str">
            <v xml:space="preserve"> total</v>
          </cell>
        </row>
        <row r="155">
          <cell r="C155" t="str">
            <v>Bílý text v buňkách těchto barev naznačuje vstupní údaj</v>
          </cell>
          <cell r="D155" t="str">
            <v>White text in cells of these colours indicates input data</v>
          </cell>
        </row>
        <row r="156">
          <cell r="C156" t="str">
            <v>Jakýkoliv text v buňkách těchto barev je vstupní údaj</v>
          </cell>
          <cell r="D156" t="str">
            <v>Any text in cells of these colours indicates input data</v>
          </cell>
        </row>
        <row r="157">
          <cell r="C157" t="str">
            <v>bez PK</v>
          </cell>
          <cell r="D157" t="str">
            <v>w/o WC</v>
          </cell>
        </row>
        <row r="158">
          <cell r="C158" t="str">
            <v>Úprava Pož. příjmu o PK</v>
          </cell>
          <cell r="D158" t="str">
            <v>Modified Req. revenue by WC</v>
          </cell>
        </row>
        <row r="159">
          <cell r="C159" t="str">
            <v>příjmová část PK</v>
          </cell>
          <cell r="D159" t="str">
            <v>active WC</v>
          </cell>
        </row>
        <row r="160">
          <cell r="C160" t="str">
            <v>bez příjmové části</v>
          </cell>
          <cell r="D160" t="str">
            <v>w/o active part</v>
          </cell>
        </row>
        <row r="161">
          <cell r="C161" t="str">
            <v>a</v>
          </cell>
          <cell r="D161" t="str">
            <v>and</v>
          </cell>
        </row>
        <row r="162">
          <cell r="C162" t="str">
            <v>PK</v>
          </cell>
          <cell r="D162" t="str">
            <v>WC</v>
          </cell>
        </row>
        <row r="163">
          <cell r="C163" t="str">
            <v>uskutečněných v roce</v>
          </cell>
          <cell r="D163" t="str">
            <v>originating in</v>
          </cell>
        </row>
        <row r="164">
          <cell r="C164" t="str">
            <v>spočítaná</v>
          </cell>
          <cell r="D164" t="str">
            <v>calculated</v>
          </cell>
        </row>
        <row r="165">
          <cell r="C165" t="str">
            <v>uživatelský vstup</v>
          </cell>
          <cell r="D165" t="str">
            <v>user input</v>
          </cell>
        </row>
        <row r="166">
          <cell r="C166" t="str">
            <v>Výše požadovaných cen</v>
          </cell>
          <cell r="D166" t="str">
            <v>Predetermined tariff</v>
          </cell>
        </row>
        <row r="167">
          <cell r="C167" t="str">
            <v>stálé ceny</v>
          </cell>
          <cell r="D167" t="str">
            <v>constant prices</v>
          </cell>
        </row>
        <row r="168">
          <cell r="C168" t="str">
            <v>běžné ceny</v>
          </cell>
          <cell r="D168" t="str">
            <v>current prices</v>
          </cell>
        </row>
        <row r="169">
          <cell r="C169" t="str">
            <v>Nájemné dle stanovené ceny</v>
          </cell>
          <cell r="D169" t="str">
            <v>Rental payment required for desired tariff</v>
          </cell>
        </row>
        <row r="170">
          <cell r="C170" t="str">
            <v>Možnost vzdát se zisku</v>
          </cell>
          <cell r="D170" t="str">
            <v>Voluntary giving up of profit</v>
          </cell>
        </row>
        <row r="171">
          <cell r="C171" t="str">
            <v>Horní hranice odpočtu</v>
          </cell>
          <cell r="D171" t="str">
            <v>Maximum of giving up</v>
          </cell>
        </row>
        <row r="172">
          <cell r="C172" t="str">
            <v>Vzdát se zisku ve výši:</v>
          </cell>
          <cell r="D172" t="str">
            <v>Give up of profit</v>
          </cell>
        </row>
        <row r="173">
          <cell r="C173" t="str">
            <v>SOUHRN</v>
          </cell>
          <cell r="D173" t="str">
            <v>SUMMARY</v>
          </cell>
        </row>
        <row r="174">
          <cell r="C174" t="str">
            <v>po vzdání se zisku</v>
          </cell>
          <cell r="D174" t="str">
            <v>after giving up of profit</v>
          </cell>
        </row>
        <row r="175">
          <cell r="C175" t="str">
            <v>Nájemné koresponduje s cenami</v>
          </cell>
          <cell r="D175" t="str">
            <v>Rent calculated by desired tariff - OK</v>
          </cell>
        </row>
        <row r="176">
          <cell r="C176" t="str">
            <v>Nutný přepočet nájemného</v>
          </cell>
          <cell r="D176" t="str">
            <v>New calculation of rent needed</v>
          </cell>
        </row>
        <row r="177">
          <cell r="C177" t="str">
            <v>Výpočet nájemného dle zadané ceny</v>
          </cell>
          <cell r="D177" t="str">
            <v>Calculation of rent by desired tariff</v>
          </cell>
        </row>
        <row r="178">
          <cell r="C178" t="str">
            <v>Nájemné - přímý uživatelský vstup</v>
          </cell>
          <cell r="D178" t="str">
            <v>Rent - direct user input</v>
          </cell>
        </row>
        <row r="179">
          <cell r="C179" t="str">
            <v>bez DPH</v>
          </cell>
          <cell r="D179" t="str">
            <v>w/o VAT</v>
          </cell>
        </row>
        <row r="180">
          <cell r="C180" t="str">
            <v>Název vlastníka</v>
          </cell>
          <cell r="D180" t="str">
            <v>Name of Owner</v>
          </cell>
        </row>
        <row r="181">
          <cell r="C181" t="str">
            <v>Název provozovatele</v>
          </cell>
          <cell r="D181" t="str">
            <v>Name of Operator</v>
          </cell>
        </row>
        <row r="182">
          <cell r="C182" t="str">
            <v>ve výchozím roce</v>
          </cell>
          <cell r="D182" t="str">
            <v>in base year</v>
          </cell>
        </row>
        <row r="183">
          <cell r="C183" t="str">
            <v>Kč / osobu</v>
          </cell>
          <cell r="D183" t="str">
            <v>CZK/person</v>
          </cell>
        </row>
        <row r="184">
          <cell r="C184" t="str">
            <v>DPH z vodného a stočného</v>
          </cell>
          <cell r="D184" t="str">
            <v>VAT on water services</v>
          </cell>
        </row>
        <row r="185">
          <cell r="C185" t="str">
            <v>l/os/den</v>
          </cell>
          <cell r="D185" t="str">
            <v>l/p/d</v>
          </cell>
        </row>
        <row r="186">
          <cell r="C186" t="str">
            <v>Fyzické ukazatele</v>
          </cell>
          <cell r="D186" t="str">
            <v>Physical indicators</v>
          </cell>
        </row>
        <row r="187">
          <cell r="C187" t="str">
            <v>Objem vody dodané - domácnosti</v>
          </cell>
          <cell r="D187" t="str">
            <v>Volume supplied - households</v>
          </cell>
        </row>
        <row r="188">
          <cell r="C188" t="str">
            <v>Objem vody dodané - ostatní</v>
          </cell>
          <cell r="D188" t="str">
            <v>Volume supplied - non-households</v>
          </cell>
        </row>
        <row r="189">
          <cell r="C189" t="str">
            <v>Voda odpadní odváděná - domácnosti</v>
          </cell>
          <cell r="D189" t="str">
            <v>Wastewater collected - households</v>
          </cell>
        </row>
        <row r="190">
          <cell r="C190" t="str">
            <v>Voda odpadní odváděná - ostatní (včetně dešťové)</v>
          </cell>
          <cell r="D190" t="str">
            <v>Wastewater collected - non-households (rainwater included)</v>
          </cell>
        </row>
        <row r="191">
          <cell r="C191" t="str">
            <v>Cena pro vodné (ve stálých cenách, vč. DPH)</v>
          </cell>
          <cell r="D191" t="str">
            <v>Water tariff (in constant prices, incl. VAT)</v>
          </cell>
        </row>
        <row r="192">
          <cell r="C192" t="str">
            <v>Cena pro stočné (ve stálých cenách, vč. DPH)</v>
          </cell>
          <cell r="D192" t="str">
            <v>Wastewater tariff (in constant prices, incl. VAT)</v>
          </cell>
        </row>
        <row r="193">
          <cell r="C193" t="str">
            <v>budoucnost</v>
          </cell>
          <cell r="D193" t="str">
            <v>future</v>
          </cell>
        </row>
        <row r="194">
          <cell r="C194" t="str">
            <v xml:space="preserve">Požadovaný příjem </v>
          </cell>
          <cell r="D194" t="str">
            <v>Required revenue</v>
          </cell>
        </row>
        <row r="195">
          <cell r="C195" t="str">
            <v>Kč</v>
          </cell>
          <cell r="D195" t="str">
            <v>CZK</v>
          </cell>
        </row>
        <row r="196">
          <cell r="C196" t="str">
            <v>Dlouhodobý deficit v nájemném této složky!</v>
          </cell>
          <cell r="D196" t="str">
            <v>Longterm deficit in rent to Owner!</v>
          </cell>
        </row>
        <row r="197">
          <cell r="C197" t="str">
            <v>Finanční náklady</v>
          </cell>
          <cell r="D197" t="str">
            <v>Financial costs</v>
          </cell>
        </row>
        <row r="198">
          <cell r="C198" t="str">
            <v>Odpisy zahrnuté do výrobní režie</v>
          </cell>
          <cell r="D198" t="str">
            <v>Depreciation included into Production overheads</v>
          </cell>
        </row>
        <row r="199">
          <cell r="C199" t="str">
            <v>Odpisy zahrnuté do správní režie</v>
          </cell>
          <cell r="D199" t="str">
            <v>Depreciation included into Administrative overheads</v>
          </cell>
        </row>
        <row r="200">
          <cell r="C200" t="str">
            <v>Hodnota infrastrukturního majetku podle VÚME</v>
          </cell>
          <cell r="D200" t="str">
            <v>Ifrastructural assets - valued by MoAg methodology</v>
          </cell>
        </row>
        <row r="201">
          <cell r="C201" t="str">
            <v>Pořizovací cena provozního majetku</v>
          </cell>
          <cell r="D201" t="str">
            <v>Purchase value of Operational assets</v>
          </cell>
        </row>
        <row r="202">
          <cell r="C202" t="str">
            <v>Počet pracovníků</v>
          </cell>
          <cell r="D202" t="str">
            <v>Number of employees</v>
          </cell>
        </row>
        <row r="203">
          <cell r="C203" t="str">
            <v>Nominální odpisy investic do provozního majetku v reálných cenách</v>
          </cell>
          <cell r="D203" t="str">
            <v>Nominal depreciation of Operational assets in real prices</v>
          </cell>
        </row>
        <row r="204">
          <cell r="C204" t="str">
            <v>Nominální odpisy investic do infra. majetku v reálných cenách</v>
          </cell>
          <cell r="D204" t="str">
            <v>Nominal depreciation of Infrastructural assets in real prices</v>
          </cell>
        </row>
        <row r="205">
          <cell r="C205" t="str">
            <v>Zisk před zdaněním, z toho</v>
          </cell>
          <cell r="D205" t="str">
            <v>Profit before taxes, including:</v>
          </cell>
        </row>
        <row r="206">
          <cell r="C206" t="str">
            <v>Přiměřený zisk jako % ÚVN</v>
          </cell>
          <cell r="D206" t="str">
            <v>Reasonable profit as % of Total costs</v>
          </cell>
        </row>
        <row r="207">
          <cell r="C207" t="str">
            <v>Dobrovolně snížený zisk jako % ÚVN</v>
          </cell>
          <cell r="D207" t="str">
            <v>Voluntarily decreased profit as  % of Total costs</v>
          </cell>
        </row>
        <row r="208">
          <cell r="C208" t="str">
            <v>Zisk ve vztahu ke Kalkulaci</v>
          </cell>
          <cell r="D208" t="str">
            <v>Profit related to Official MoAg Report</v>
          </cell>
        </row>
        <row r="209">
          <cell r="C209" t="str">
            <v>Přiměřený zisk po snížení před zdaněním</v>
          </cell>
          <cell r="D209" t="str">
            <v>Reasonable profit before tax after voluntary decrease</v>
          </cell>
        </row>
        <row r="210">
          <cell r="C210" t="str">
            <v>Potencionální zisk z titulu nikdy nevybraných pohledávek</v>
          </cell>
          <cell r="D210" t="str">
            <v>Potentional profit at 100% Collection rate</v>
          </cell>
        </row>
        <row r="211">
          <cell r="C211" t="str">
            <v>Kalkulační zisk</v>
          </cell>
          <cell r="D211" t="str">
            <v>Profit for Official MoAg Report</v>
          </cell>
        </row>
        <row r="212">
          <cell r="C212" t="str">
            <v>Kalkulační zisk jako % ÚVN</v>
          </cell>
          <cell r="D212" t="str">
            <v>Profit for Official MoAg Report as % of Totatl costs</v>
          </cell>
        </row>
        <row r="213">
          <cell r="C213" t="str">
            <v>Skutečně uhrazená produkce</v>
          </cell>
          <cell r="D213" t="str">
            <v>Receivable production</v>
          </cell>
        </row>
        <row r="214">
          <cell r="C214" t="str">
            <v>Provozní majetek - přidělený</v>
          </cell>
          <cell r="D214" t="str">
            <v>Operational assets - apportioned</v>
          </cell>
        </row>
        <row r="215">
          <cell r="C215" t="str">
            <v>% změna v ceně</v>
          </cell>
          <cell r="D215" t="str">
            <v>% change in annual tariff</v>
          </cell>
        </row>
        <row r="216">
          <cell r="C216" t="str">
            <v>v běžných cenách</v>
          </cell>
          <cell r="D216" t="str">
            <v>current prices</v>
          </cell>
        </row>
        <row r="217">
          <cell r="C217" t="str">
            <v>provozovatele</v>
          </cell>
          <cell r="D217" t="str">
            <v>of Operator</v>
          </cell>
        </row>
        <row r="218">
          <cell r="C218" t="str">
            <v>bez odpisů</v>
          </cell>
          <cell r="D218" t="str">
            <v>w/o depreciation</v>
          </cell>
        </row>
        <row r="219">
          <cell r="C219" t="str">
            <v>k tomu odpisy</v>
          </cell>
          <cell r="D219" t="str">
            <v>plus depreciation</v>
          </cell>
        </row>
        <row r="220">
          <cell r="C220" t="str">
            <v>odhad</v>
          </cell>
          <cell r="D220" t="str">
            <v>forecast</v>
          </cell>
        </row>
        <row r="221">
          <cell r="C221" t="str">
            <v>skutečnost</v>
          </cell>
          <cell r="D221" t="str">
            <v>actual</v>
          </cell>
        </row>
        <row r="222">
          <cell r="C222" t="str">
            <v>Ex ante odhad</v>
          </cell>
          <cell r="D222" t="str">
            <v>Ex ante estimate</v>
          </cell>
        </row>
        <row r="223">
          <cell r="C223" t="str">
            <v>Index spotřebitelských cen</v>
          </cell>
          <cell r="D223" t="str">
            <v>Consumer Price Index</v>
          </cell>
        </row>
        <row r="224">
          <cell r="C224" t="str">
            <v>Index cen průmyslových výrobců</v>
          </cell>
          <cell r="D224" t="str">
            <v>Industrial Producer Price Index</v>
          </cell>
        </row>
        <row r="225">
          <cell r="C225" t="str">
            <v>Index cen elektrické energie</v>
          </cell>
          <cell r="D225" t="str">
            <v>Electricity Price Index</v>
          </cell>
        </row>
        <row r="226">
          <cell r="C226" t="str">
            <v>Složený index cen energie</v>
          </cell>
          <cell r="D226" t="str">
            <v>Composite Energy Price Index</v>
          </cell>
        </row>
        <row r="227">
          <cell r="C227" t="str">
            <v>Index cen stavebních děl - pitná voda</v>
          </cell>
          <cell r="D227" t="str">
            <v>Water sector civil works price index - DW</v>
          </cell>
        </row>
        <row r="228">
          <cell r="C228" t="str">
            <v>Index cen stavebních děl - odpadní voda</v>
          </cell>
          <cell r="D228" t="str">
            <v>Water sector civil works price index - WW</v>
          </cell>
        </row>
        <row r="229">
          <cell r="C229" t="str">
            <v>Určeno uživatelem</v>
          </cell>
          <cell r="D229" t="str">
            <v>User-defined</v>
          </cell>
        </row>
        <row r="230">
          <cell r="C230" t="str">
            <v>Indexy vztažené k výchozímu roku</v>
          </cell>
          <cell r="D230" t="str">
            <v>Indices rebased to base year</v>
          </cell>
        </row>
        <row r="231">
          <cell r="C231" t="str">
            <v>Změna stálých cen ve srovnání k úrovni výchozího roku</v>
          </cell>
          <cell r="D231" t="str">
            <v>Change in real prices compared to base year</v>
          </cell>
        </row>
        <row r="232">
          <cell r="C232" t="str">
            <v>Pásmo</v>
          </cell>
          <cell r="D232" t="str">
            <v>Band</v>
          </cell>
        </row>
        <row r="233">
          <cell r="C233" t="str">
            <v>První pásmo</v>
          </cell>
          <cell r="D233" t="str">
            <v>First band</v>
          </cell>
        </row>
        <row r="234">
          <cell r="C234" t="str">
            <v>Druhé pásmo</v>
          </cell>
          <cell r="D234" t="str">
            <v>Second band</v>
          </cell>
        </row>
        <row r="235">
          <cell r="C235" t="str">
            <v>Třetí pásmo</v>
          </cell>
          <cell r="D235" t="str">
            <v>Third band</v>
          </cell>
        </row>
        <row r="236">
          <cell r="C236" t="str">
            <v>Od</v>
          </cell>
          <cell r="D236" t="str">
            <v>Greater than</v>
          </cell>
        </row>
        <row r="237">
          <cell r="C237" t="str">
            <v>Do (včetně)</v>
          </cell>
          <cell r="D237" t="str">
            <v>Up to and including</v>
          </cell>
        </row>
        <row r="238">
          <cell r="C238" t="str">
            <v>Podíl úspor odběrateli</v>
          </cell>
          <cell r="D238" t="str">
            <v>Share of savings to Customer</v>
          </cell>
        </row>
        <row r="239">
          <cell r="C239" t="str">
            <v>Průměrný 1-roční PRIBOR k 31.10. roku t-1</v>
          </cell>
          <cell r="D239" t="str">
            <v>Average 1-year PRIBOR on 31st October of year t-1</v>
          </cell>
        </row>
        <row r="240">
          <cell r="C240" t="str">
            <v>Práh použití penále</v>
          </cell>
          <cell r="D240" t="str">
            <v>Threshold for application of punitive carrying charge</v>
          </cell>
        </row>
        <row r="241">
          <cell r="C241" t="str">
            <v>Nárůst v PRIBOR základní úrokové sazby</v>
          </cell>
          <cell r="D241" t="str">
            <v>Increase in PRIBOR for basic interest rate</v>
          </cell>
        </row>
        <row r="242">
          <cell r="C242" t="str">
            <v>Zvýšení základní úrokové sazby úroků z dlužné částky</v>
          </cell>
          <cell r="D242" t="str">
            <v>Increase in basic interest rate for punitive carrying charge</v>
          </cell>
        </row>
        <row r="243">
          <cell r="C243" t="str">
            <v>Úrokové sazby</v>
          </cell>
          <cell r="D243" t="str">
            <v>Interest rates</v>
          </cell>
        </row>
        <row r="244">
          <cell r="C244" t="str">
            <v>Výběr odpovídajícího indexu</v>
          </cell>
          <cell r="D244" t="str">
            <v>Choosing of relevant index</v>
          </cell>
        </row>
        <row r="245">
          <cell r="C245" t="str">
            <v>Přiřazené indexy</v>
          </cell>
          <cell r="D245" t="str">
            <v>Relevant indices</v>
          </cell>
        </row>
        <row r="246">
          <cell r="C246" t="str">
            <v>3.1+3.2 osobní náklady</v>
          </cell>
          <cell r="D246" t="str">
            <v>3.1+3.2 staff costs</v>
          </cell>
        </row>
        <row r="247">
          <cell r="C247" t="str">
            <v>6. Výrobní režie</v>
          </cell>
          <cell r="D247" t="str">
            <v>6. Production overheads</v>
          </cell>
        </row>
        <row r="248">
          <cell r="C248" t="str">
            <v>7. Správní režie</v>
          </cell>
          <cell r="D248" t="str">
            <v>7. Administrative overheads</v>
          </cell>
        </row>
        <row r="249">
          <cell r="C249" t="str">
            <v>Nerelevantní</v>
          </cell>
          <cell r="D249" t="str">
            <v>Not relevant</v>
          </cell>
        </row>
        <row r="250">
          <cell r="C250" t="str">
            <v>Použitý index</v>
          </cell>
          <cell r="D250" t="str">
            <v>Index to be used (if any)</v>
          </cell>
        </row>
        <row r="251">
          <cell r="C251" t="str">
            <v>Hodnoty ex post</v>
          </cell>
          <cell r="D251" t="str">
            <v>Ex post values</v>
          </cell>
        </row>
        <row r="252">
          <cell r="C252" t="str">
            <v>'Odhad'</v>
          </cell>
          <cell r="D252" t="str">
            <v>Forecast</v>
          </cell>
        </row>
        <row r="253">
          <cell r="C253" t="str">
            <v>'Skutečnost'</v>
          </cell>
          <cell r="D253" t="str">
            <v>Actual</v>
          </cell>
        </row>
        <row r="254">
          <cell r="C254" t="str">
            <v>Investice v roce</v>
          </cell>
          <cell r="D254" t="str">
            <v>Investment in the year</v>
          </cell>
        </row>
        <row r="255">
          <cell r="C255" t="str">
            <v>Odprodej majetku v roce</v>
          </cell>
          <cell r="D255" t="str">
            <v>Disposals in the year</v>
          </cell>
        </row>
        <row r="256">
          <cell r="C256" t="str">
            <v>Odpisy investice z roku</v>
          </cell>
          <cell r="D256" t="str">
            <v>Depreciation of investment from the year</v>
          </cell>
        </row>
        <row r="257">
          <cell r="C257" t="str">
            <v>Přidělení provozního majetku na danou službu</v>
          </cell>
          <cell r="D257" t="str">
            <v>Apportionment of operational assets to contract</v>
          </cell>
        </row>
        <row r="258">
          <cell r="C258" t="str">
            <v>PITNÁ VODA</v>
          </cell>
          <cell r="D258" t="str">
            <v>DRINKING WATER</v>
          </cell>
        </row>
        <row r="259">
          <cell r="C259" t="str">
            <v>ODPADNÍ VODA</v>
          </cell>
          <cell r="D259" t="str">
            <v>WASTEWATER</v>
          </cell>
        </row>
        <row r="260">
          <cell r="C260" t="str">
            <v>Hodnota ex ante</v>
          </cell>
          <cell r="D260" t="str">
            <v>Ex ante value</v>
          </cell>
        </row>
        <row r="261">
          <cell r="C261" t="str">
            <v>Finanční model</v>
          </cell>
          <cell r="D261" t="str">
            <v>Financial model</v>
          </cell>
        </row>
        <row r="262">
          <cell r="C262" t="str">
            <v>Investice do provozního majetku</v>
          </cell>
          <cell r="D262" t="str">
            <v>Operational capex</v>
          </cell>
        </row>
        <row r="263">
          <cell r="C263" t="str">
            <v xml:space="preserve"> - odpisy</v>
          </cell>
          <cell r="D263" t="str">
            <v xml:space="preserve"> - depreciation</v>
          </cell>
        </row>
        <row r="264">
          <cell r="C264" t="str">
            <v xml:space="preserve"> - odprodej majetku</v>
          </cell>
          <cell r="D264" t="str">
            <v xml:space="preserve"> - assets sales</v>
          </cell>
        </row>
        <row r="265">
          <cell r="C265" t="str">
            <v>Investice do infrastrukturního majetku</v>
          </cell>
          <cell r="D265" t="str">
            <v>Infrastructural capex</v>
          </cell>
        </row>
        <row r="266">
          <cell r="C266" t="str">
            <v>ReHoK</v>
          </cell>
          <cell r="D266" t="str">
            <v>RCV</v>
          </cell>
        </row>
        <row r="267">
          <cell r="C267" t="str">
            <v>Předplacené nájemné</v>
          </cell>
          <cell r="D267" t="str">
            <v>Pre-paid rent</v>
          </cell>
        </row>
        <row r="268">
          <cell r="C268" t="str">
            <v>ReHoK (ke konci roku)</v>
          </cell>
          <cell r="D268" t="str">
            <v>RCV (at year end)</v>
          </cell>
        </row>
        <row r="269">
          <cell r="C269" t="str">
            <v>Odpisy - nominální</v>
          </cell>
          <cell r="D269" t="str">
            <v>Depreciation - nominal</v>
          </cell>
        </row>
        <row r="270">
          <cell r="C270" t="str">
            <v>Zisk před zdaněním, z toho</v>
          </cell>
          <cell r="D270" t="str">
            <v>Profit before taxes, including:</v>
          </cell>
        </row>
        <row r="271">
          <cell r="C271" t="str">
            <v>Úprava odpisů o inflaci</v>
          </cell>
          <cell r="D271" t="str">
            <v>Depreciation adjustment for real</v>
          </cell>
        </row>
        <row r="272">
          <cell r="C272" t="str">
            <v>Výnos z ReHoK bez Očekávání</v>
          </cell>
          <cell r="D272" t="str">
            <v>Return on RCV w/o Expectations</v>
          </cell>
        </row>
        <row r="273">
          <cell r="C273" t="str">
            <v>Návratnost Očekávání</v>
          </cell>
          <cell r="D273" t="str">
            <v>Return of Expectations</v>
          </cell>
        </row>
        <row r="274">
          <cell r="C274" t="str">
            <v>Výnos z Očekávání</v>
          </cell>
          <cell r="D274" t="str">
            <v>Return on Expectations</v>
          </cell>
        </row>
        <row r="275">
          <cell r="C275" t="str">
            <v>Daň z příjmu právnických osob</v>
          </cell>
          <cell r="D275" t="str">
            <v>Corporation tax</v>
          </cell>
        </row>
        <row r="276">
          <cell r="C276" t="str">
            <v>Průměrná reálná cena založená na Požadovaném příjmu</v>
          </cell>
          <cell r="D276" t="str">
            <v>Average real price based on required revenue</v>
          </cell>
        </row>
        <row r="277">
          <cell r="C277" t="str">
            <v>Úspěšnost výběru pohledávek</v>
          </cell>
          <cell r="D277" t="str">
            <v>Collection rate</v>
          </cell>
        </row>
        <row r="278">
          <cell r="C278" t="str">
            <v>Fixní náklady</v>
          </cell>
          <cell r="D278" t="str">
            <v>Fixed costs</v>
          </cell>
        </row>
        <row r="279">
          <cell r="C279" t="str">
            <v>Objem vody dodané</v>
          </cell>
          <cell r="D279" t="str">
            <v>Volume supplied</v>
          </cell>
        </row>
        <row r="280">
          <cell r="C280" t="str">
            <v>Hodnota psí</v>
          </cell>
          <cell r="D280" t="str">
            <v>Value of psi</v>
          </cell>
        </row>
        <row r="281">
          <cell r="C281" t="str">
            <v>Náklady dle objemu</v>
          </cell>
          <cell r="D281" t="str">
            <v>Volume related Costs</v>
          </cell>
        </row>
        <row r="282">
          <cell r="C282" t="str">
            <v>Náklady dle objemu s promítnutím  - na m3 čerpané, čištěné, vyrobené vody</v>
          </cell>
          <cell r="D282" t="str">
            <v>True pass through   - per m3 pumped, treated, produced</v>
          </cell>
        </row>
        <row r="283">
          <cell r="C283" t="str">
            <v>Náklady dle objemu indexované  - na m3 čerpané, čištěné, vyrobené vody</v>
          </cell>
          <cell r="D283" t="str">
            <v>Indexed   - per m3 pumped, treated, produced</v>
          </cell>
        </row>
        <row r="284">
          <cell r="C284" t="str">
            <v>Nová infrastruktura</v>
          </cell>
          <cell r="D284" t="str">
            <v>New infrastructure</v>
          </cell>
        </row>
        <row r="285">
          <cell r="C285" t="str">
            <v>Celkové provozní náklady</v>
          </cell>
          <cell r="D285" t="str">
            <v>Total opex</v>
          </cell>
        </row>
        <row r="286">
          <cell r="C286" t="str">
            <v>Harmonogram realizace</v>
          </cell>
          <cell r="D286" t="str">
            <v>Timeline for implementation</v>
          </cell>
        </row>
        <row r="287">
          <cell r="C287" t="str">
            <v>První - rozšíření sítě</v>
          </cell>
          <cell r="D287" t="str">
            <v>First - extension of network</v>
          </cell>
        </row>
        <row r="288">
          <cell r="C288" t="str">
            <v>nové zařízení (a odstranění starého)</v>
          </cell>
          <cell r="D288" t="str">
            <v>new object (and removal of old)</v>
          </cell>
        </row>
        <row r="289">
          <cell r="C289" t="str">
            <v>Druhý</v>
          </cell>
          <cell r="D289" t="str">
            <v>Second</v>
          </cell>
        </row>
        <row r="290">
          <cell r="C290" t="str">
            <v>Třetí</v>
          </cell>
          <cell r="D290" t="str">
            <v>Third</v>
          </cell>
        </row>
        <row r="291">
          <cell r="C291" t="str">
            <v>Čtvrtý</v>
          </cell>
          <cell r="D291" t="str">
            <v>Fourth</v>
          </cell>
        </row>
        <row r="292">
          <cell r="C292" t="str">
            <v>Rozšíření sítě</v>
          </cell>
          <cell r="D292" t="str">
            <v>Extension of network</v>
          </cell>
        </row>
        <row r="293">
          <cell r="C293" t="str">
            <v>První investiční program</v>
          </cell>
          <cell r="D293" t="str">
            <v>First Programme</v>
          </cell>
        </row>
        <row r="294">
          <cell r="C294" t="str">
            <v>Druhý investiční program</v>
          </cell>
          <cell r="D294" t="str">
            <v>Second Programme</v>
          </cell>
        </row>
        <row r="295">
          <cell r="C295" t="str">
            <v>Třetí investiční program</v>
          </cell>
          <cell r="D295" t="str">
            <v>Third Programme</v>
          </cell>
        </row>
        <row r="296">
          <cell r="C296" t="str">
            <v>Čtvrtý investiční program</v>
          </cell>
          <cell r="D296" t="str">
            <v>Fourth Programme</v>
          </cell>
        </row>
        <row r="297">
          <cell r="C297" t="str">
            <v>Počet přípojek</v>
          </cell>
          <cell r="D297" t="str">
            <v>Number of connections</v>
          </cell>
        </row>
        <row r="298">
          <cell r="C298" t="str">
            <v>současný</v>
          </cell>
          <cell r="D298" t="str">
            <v>now</v>
          </cell>
        </row>
        <row r="299">
          <cell r="C299" t="str">
            <v>nové</v>
          </cell>
          <cell r="D299" t="str">
            <v>new</v>
          </cell>
        </row>
        <row r="300">
          <cell r="C300" t="str">
            <v>Další investiční programy</v>
          </cell>
          <cell r="D300" t="str">
            <v>Other programmes</v>
          </cell>
        </row>
        <row r="301">
          <cell r="C301" t="str">
            <v>Rok zavedení ex ante přístupu</v>
          </cell>
          <cell r="D301" t="str">
            <v>First year of ex ante</v>
          </cell>
        </row>
        <row r="302">
          <cell r="C302" t="str">
            <v>Fixní náklady s počátečním vyrovnáním (dle skutečnosti)</v>
          </cell>
          <cell r="D302" t="str">
            <v>Fixed cost initial period true up</v>
          </cell>
        </row>
        <row r="303">
          <cell r="C303" t="str">
            <v>Náklady dle počtu přípojek</v>
          </cell>
          <cell r="D303" t="str">
            <v>Customer number related</v>
          </cell>
        </row>
        <row r="304">
          <cell r="C304" t="str">
            <v>na jednu přípojku</v>
          </cell>
          <cell r="D304" t="str">
            <v>per customer connection</v>
          </cell>
        </row>
        <row r="305">
          <cell r="C305" t="str">
            <v>původní</v>
          </cell>
          <cell r="D305" t="str">
            <v>old</v>
          </cell>
        </row>
        <row r="306">
          <cell r="C306" t="str">
            <v>Objem</v>
          </cell>
          <cell r="D306" t="str">
            <v>Volume</v>
          </cell>
        </row>
        <row r="307">
          <cell r="C307" t="str">
            <v>Náklady dle objemu s promítnutím  - celkem</v>
          </cell>
          <cell r="D307" t="str">
            <v>True pass through   - total</v>
          </cell>
        </row>
        <row r="308">
          <cell r="C308" t="str">
            <v>Náklady dle objemu indexované  - celkem</v>
          </cell>
          <cell r="D308" t="str">
            <v>Volume related indexed   - total</v>
          </cell>
        </row>
        <row r="309">
          <cell r="C309" t="str">
            <v>Počet nových přípojek celkem</v>
          </cell>
          <cell r="D309" t="str">
            <v>Number of new connections total</v>
          </cell>
        </row>
        <row r="310">
          <cell r="C310" t="str">
            <v>původní infrastruktura</v>
          </cell>
          <cell r="D310" t="str">
            <v>original infrastructure</v>
          </cell>
        </row>
        <row r="311">
          <cell r="C311" t="str">
            <v>Odstranění původní infrastruktury</v>
          </cell>
          <cell r="D311" t="str">
            <v>Removal of old infrastructure</v>
          </cell>
        </row>
        <row r="312">
          <cell r="C312" t="str">
            <v>ReHoK x VaPNaK</v>
          </cell>
          <cell r="D312" t="str">
            <v>RCV x WACC</v>
          </cell>
        </row>
        <row r="313">
          <cell r="C313" t="str">
            <v>Použitá úroková míra</v>
          </cell>
          <cell r="D313" t="str">
            <v>Applicable interest rate</v>
          </cell>
        </row>
        <row r="314">
          <cell r="C314" t="str">
            <v>AR - Nájemné (1)</v>
          </cell>
          <cell r="D314" t="str">
            <v>AR - Rent (1)</v>
          </cell>
        </row>
        <row r="315">
          <cell r="C315" t="str">
            <v>(Wt-2) / (AR - Nájemné) (2/1)</v>
          </cell>
          <cell r="D315" t="str">
            <v>(Wt-2) / (AR - Rent) (2/1)</v>
          </cell>
        </row>
        <row r="316">
          <cell r="C316" t="str">
            <v>Častka měnící roční příjem</v>
          </cell>
          <cell r="D316" t="str">
            <v>Amount changing annual revenue</v>
          </cell>
        </row>
        <row r="317">
          <cell r="C317" t="str">
            <v>Hodnota bez úroků z dlužné částky</v>
          </cell>
          <cell r="D317" t="str">
            <v>Amount before carrying charge</v>
          </cell>
        </row>
        <row r="318">
          <cell r="C318" t="str">
            <v>Úroky z dlužné částky</v>
          </cell>
          <cell r="D318" t="str">
            <v>Carrying charge</v>
          </cell>
        </row>
        <row r="319">
          <cell r="C319" t="str">
            <v>Část dělených úspor plynoucích Odběrateli</v>
          </cell>
          <cell r="D319" t="str">
            <v>Shared savings to be paid to Customer at 'wash up'</v>
          </cell>
        </row>
        <row r="320">
          <cell r="C320" t="str">
            <v>Celková částka měnící roční příjem</v>
          </cell>
          <cell r="D320" t="str">
            <v>Total change of annual revenue</v>
          </cell>
        </row>
        <row r="321">
          <cell r="C321" t="str">
            <v>Výpočet ceny pro daný rok</v>
          </cell>
          <cell r="D321" t="str">
            <v>Tariff calculation for given year</v>
          </cell>
        </row>
        <row r="322">
          <cell r="C322" t="str">
            <v>Požadovaný příjem ex ante</v>
          </cell>
          <cell r="D322" t="str">
            <v>Ex ante revenue requirement</v>
          </cell>
        </row>
        <row r="323">
          <cell r="C323" t="str">
            <v>Nově požadovaný příjem</v>
          </cell>
          <cell r="D323" t="str">
            <v>New revenue requirement</v>
          </cell>
        </row>
        <row r="324">
          <cell r="C324" t="str">
            <v>Položka</v>
          </cell>
          <cell r="D324" t="str">
            <v>Item</v>
          </cell>
        </row>
        <row r="325">
          <cell r="C325" t="str">
            <v>Analýza</v>
          </cell>
          <cell r="D325" t="str">
            <v>Analysis</v>
          </cell>
        </row>
        <row r="326">
          <cell r="C326" t="str">
            <v>Ve stálých cenách</v>
          </cell>
          <cell r="D326" t="str">
            <v>In real terms</v>
          </cell>
        </row>
        <row r="327">
          <cell r="C327" t="str">
            <v xml:space="preserve">V běžných cenách </v>
          </cell>
          <cell r="D327" t="str">
            <v>In nominal terms</v>
          </cell>
        </row>
        <row r="328">
          <cell r="C328" t="str">
            <v>Konečné provozní náklady použité při tvorbě cen</v>
          </cell>
          <cell r="D328" t="str">
            <v>Opex finally used for price setting</v>
          </cell>
        </row>
        <row r="329">
          <cell r="C329" t="str">
            <v>Ex post kalkulace požadovaný příjem</v>
          </cell>
          <cell r="D329" t="str">
            <v>Revenue requirement for ex post calculations</v>
          </cell>
        </row>
        <row r="330">
          <cell r="C330" t="str">
            <v>'Vyrovnání dle skutečných hodnot'</v>
          </cell>
          <cell r="D330" t="str">
            <v>'Correction based on audited values (wash up)'</v>
          </cell>
        </row>
        <row r="331">
          <cell r="C331" t="str">
            <v>'Vyrovnání dle odhadu'</v>
          </cell>
          <cell r="D331" t="str">
            <v>'Correction based on re-forecast values'</v>
          </cell>
        </row>
        <row r="332">
          <cell r="C332" t="str">
            <v>Ceny</v>
          </cell>
          <cell r="D332" t="str">
            <v>Tariffs</v>
          </cell>
        </row>
        <row r="333">
          <cell r="C333" t="str">
            <v>Cena ex ante</v>
          </cell>
          <cell r="D333" t="str">
            <v>Ex ante tariff</v>
          </cell>
        </row>
        <row r="334">
          <cell r="C334" t="str">
            <v>Skutečná cena</v>
          </cell>
          <cell r="D334" t="str">
            <v>Actual tariff</v>
          </cell>
        </row>
        <row r="335">
          <cell r="C335" t="str">
            <v>STRUČNÝ SOUHRN</v>
          </cell>
          <cell r="D335" t="str">
            <v>BRIEF SUMMARY</v>
          </cell>
        </row>
        <row r="336">
          <cell r="C336" t="str">
            <v>Kalkulace úspor provozních nákladů (pouze indexované)</v>
          </cell>
          <cell r="D336" t="str">
            <v>Calculation of opex savings (for indexed cost items)</v>
          </cell>
        </row>
        <row r="337">
          <cell r="C337" t="str">
            <v>Dělení užitků z úspor v nákladech</v>
          </cell>
          <cell r="D337" t="str">
            <v>Sharing of cost savings</v>
          </cell>
        </row>
        <row r="338">
          <cell r="C338" t="str">
            <v>Rok zahájení výstavby</v>
          </cell>
          <cell r="D338" t="str">
            <v>First year of implementation</v>
          </cell>
        </row>
        <row r="339">
          <cell r="C339" t="str">
            <v>Skutečné hodnoty při přezkoumání 'Skutečnost'</v>
          </cell>
          <cell r="D339" t="str">
            <v>Actual values as at 'Actual'</v>
          </cell>
        </row>
        <row r="340">
          <cell r="C340" t="str">
            <v>Indexované náklady ve výši zahrnuté do ceny</v>
          </cell>
          <cell r="D340" t="str">
            <v>Fixed costs at value generating price</v>
          </cell>
        </row>
        <row r="341">
          <cell r="C341" t="str">
            <v>Skutečné indexované provozní náklady</v>
          </cell>
          <cell r="D341" t="str">
            <v>Actual fixed costs</v>
          </cell>
        </row>
        <row r="342">
          <cell r="C342" t="str">
            <v>Celkové úspory</v>
          </cell>
          <cell r="D342" t="str">
            <v>Total savings</v>
          </cell>
        </row>
        <row r="343">
          <cell r="C343" t="str">
            <v>Celkové úspory jako % fixních nákladů</v>
          </cell>
          <cell r="D343" t="str">
            <v>Total savings as % of fixed costs</v>
          </cell>
        </row>
        <row r="344">
          <cell r="C344" t="str">
            <v>Hranice mezi prvním a druhým pásmem</v>
          </cell>
          <cell r="D344" t="str">
            <v>Border between first and second band</v>
          </cell>
        </row>
        <row r="345">
          <cell r="C345" t="str">
            <v>Hranice mezi druhým a třetím pásmem</v>
          </cell>
          <cell r="D345" t="str">
            <v>Border between second and third band</v>
          </cell>
        </row>
        <row r="346">
          <cell r="C346" t="str">
            <v>Platba Odběratelům</v>
          </cell>
          <cell r="D346" t="str">
            <v>Payment to Customers</v>
          </cell>
        </row>
        <row r="347">
          <cell r="C347" t="str">
            <v>Stávající majetek</v>
          </cell>
          <cell r="D347" t="str">
            <v>Existing assets</v>
          </cell>
        </row>
        <row r="348">
          <cell r="C348" t="str">
            <v>Regulatorní odpisy (stálé ceny výchozího roku)</v>
          </cell>
          <cell r="D348" t="str">
            <v>Regulatory depreciation (constant prices from base year)</v>
          </cell>
        </row>
        <row r="349">
          <cell r="C349" t="str">
            <v>Účetní odpisy</v>
          </cell>
          <cell r="D349" t="str">
            <v>Accounting depreciation</v>
          </cell>
        </row>
        <row r="350">
          <cell r="C350" t="str">
            <v>Nominální</v>
          </cell>
          <cell r="D350" t="str">
            <v>Nominal</v>
          </cell>
        </row>
        <row r="351">
          <cell r="C351" t="str">
            <v>Upravená hodnota VaPNaK</v>
          </cell>
          <cell r="D351" t="str">
            <v>Adjusted value of WACC</v>
          </cell>
        </row>
        <row r="352">
          <cell r="C352" t="str">
            <v>Pro rok</v>
          </cell>
          <cell r="D352" t="str">
            <v>For year</v>
          </cell>
        </row>
        <row r="353">
          <cell r="C353" t="str">
            <v>Skutečné provozní náklady</v>
          </cell>
          <cell r="D353" t="str">
            <v>Actual opex</v>
          </cell>
        </row>
        <row r="354">
          <cell r="C354" t="str">
            <v>Vyrovnávací platba</v>
          </cell>
          <cell r="D354" t="str">
            <v>Compensation payment</v>
          </cell>
        </row>
        <row r="355">
          <cell r="C355" t="str">
            <v>Ex ante hodnoty po zavedení přístupu ex ante v roce</v>
          </cell>
          <cell r="D355" t="str">
            <v>Ex ante values after ex ante approach applied in year</v>
          </cell>
        </row>
        <row r="356">
          <cell r="C356" t="str">
            <v>Zbytek systému</v>
          </cell>
          <cell r="D356" t="str">
            <v>Rest of system</v>
          </cell>
        </row>
        <row r="357">
          <cell r="C357" t="str">
            <v>Pevná složka ceny</v>
          </cell>
          <cell r="D357" t="str">
            <v>Fixed part tariff</v>
          </cell>
        </row>
        <row r="358">
          <cell r="C358" t="str">
            <v>Kategorie</v>
          </cell>
          <cell r="D358" t="str">
            <v>Categories</v>
          </cell>
        </row>
        <row r="359">
          <cell r="C359" t="str">
            <v>Pevná složka jako % příjmu</v>
          </cell>
          <cell r="D359" t="str">
            <v>Fixed part in %</v>
          </cell>
        </row>
        <row r="360">
          <cell r="C360" t="str">
            <v>Konstanty pevné složky</v>
          </cell>
          <cell r="D360" t="str">
            <v>Invariables of fixed part</v>
          </cell>
        </row>
        <row r="361">
          <cell r="C361" t="str">
            <v>Počet proměnných v kategorii</v>
          </cell>
          <cell r="D361" t="str">
            <v>Volume of variables in category</v>
          </cell>
        </row>
        <row r="362">
          <cell r="C362" t="str">
            <v>Dvousložková cena?</v>
          </cell>
          <cell r="D362" t="str">
            <v>Fixed part tariff?</v>
          </cell>
        </row>
        <row r="363">
          <cell r="C363" t="str">
            <v>Kč/rok</v>
          </cell>
          <cell r="D363" t="str">
            <v>CZK/year</v>
          </cell>
        </row>
        <row r="364">
          <cell r="C364" t="str">
            <v>Variabilní složka ceny</v>
          </cell>
          <cell r="D364" t="str">
            <v>Variable part tariff</v>
          </cell>
        </row>
        <row r="365">
          <cell r="C365" t="str">
            <v>Voda srážková fakturovaná</v>
          </cell>
          <cell r="D365" t="str">
            <v>Rainwater billed</v>
          </cell>
        </row>
        <row r="366">
          <cell r="C366" t="str">
            <v>Pitná nebo odpadní voda převzatá</v>
          </cell>
          <cell r="D366" t="str">
            <v>Drinking water and wastewater puchased in bulk</v>
          </cell>
        </row>
        <row r="367">
          <cell r="C367" t="str">
            <v>Kalkulace</v>
          </cell>
          <cell r="D367" t="str">
            <v>Submission</v>
          </cell>
        </row>
        <row r="368">
          <cell r="C368" t="str">
            <v>Procentuelní rozdělení odpisů mezi výrobní a správní režii</v>
          </cell>
          <cell r="D368" t="str">
            <v>% allocation of depreciation between Production and Administrative overheads</v>
          </cell>
        </row>
        <row r="369">
          <cell r="C369" t="str">
            <v>Pitná nebo odpadní voda předaná</v>
          </cell>
          <cell r="D369" t="str">
            <v>Drinking water and wastewater sold in bulk</v>
          </cell>
        </row>
        <row r="370">
          <cell r="C370" t="str">
            <v>Sazba DPH</v>
          </cell>
          <cell r="D370" t="str">
            <v>VAT rate</v>
          </cell>
        </row>
        <row r="371">
          <cell r="C371" t="str">
            <v>Provozní odpisy přidělené do Výrobní režie</v>
          </cell>
          <cell r="D371" t="str">
            <v>Depreciation allocated to Production overheads</v>
          </cell>
        </row>
        <row r="372">
          <cell r="C372" t="str">
            <v>Provozní odpisy přidělené do Správní režie</v>
          </cell>
          <cell r="D372" t="str">
            <v>Depreciation allocated to Administrative overheads</v>
          </cell>
        </row>
        <row r="373">
          <cell r="C373" t="str">
            <v>Hodnota infrastruktur.m.podle VÚME</v>
          </cell>
          <cell r="D373" t="str">
            <v>Infrastructural assets valued by MoAg methodology</v>
          </cell>
        </row>
        <row r="374">
          <cell r="C374" t="str">
            <v>Pořizovací cena provozního maj.</v>
          </cell>
          <cell r="D374" t="str">
            <v>Purchase price of Operational assets</v>
          </cell>
        </row>
        <row r="375">
          <cell r="C375" t="str">
            <v>Příjem z pevné složky</v>
          </cell>
          <cell r="D375" t="str">
            <v>Fixed part tariff revenue</v>
          </cell>
        </row>
        <row r="376">
          <cell r="C376" t="str">
            <v>Požadovaná cena</v>
          </cell>
          <cell r="D376" t="str">
            <v>Desired tariff</v>
          </cell>
        </row>
        <row r="377">
          <cell r="C377" t="str">
            <v>Záloha na vyrovnávací platbu</v>
          </cell>
          <cell r="D377" t="str">
            <v>Advance compensation payment</v>
          </cell>
        </row>
        <row r="378">
          <cell r="C378" t="str">
            <v>Konečná vyrovnávací platba</v>
          </cell>
          <cell r="D378" t="str">
            <v>Final compensation payment</v>
          </cell>
        </row>
        <row r="379">
          <cell r="C379" t="str">
            <v>Upravené nájemné</v>
          </cell>
          <cell r="D379" t="str">
            <v>Modified rent</v>
          </cell>
        </row>
        <row r="380">
          <cell r="C380" t="str">
            <v>faktor 'z'</v>
          </cell>
          <cell r="D380" t="str">
            <v>factor 'z'</v>
          </cell>
        </row>
        <row r="381">
          <cell r="C381" t="str">
            <v>Odpadní vody z jiných zdrojů</v>
          </cell>
          <cell r="D381" t="str">
            <v>Sewage from other sources</v>
          </cell>
        </row>
        <row r="382">
          <cell r="C382" t="str">
            <v>Příjem z odpadních vod z jiných zdrojů</v>
          </cell>
          <cell r="D382" t="str">
            <v>Revenue on sewage from other sources</v>
          </cell>
        </row>
        <row r="383">
          <cell r="C383" t="str">
            <v>aktualizovaný</v>
          </cell>
          <cell r="D383" t="str">
            <v>actualized</v>
          </cell>
        </row>
        <row r="384">
          <cell r="C384" t="str">
            <v>Faktor dělby úspor inv. nákladů</v>
          </cell>
          <cell r="D384" t="str">
            <v>Sharing of Capex saving factor</v>
          </cell>
        </row>
        <row r="385">
          <cell r="C385" t="str">
            <v>Délka smlouvy</v>
          </cell>
          <cell r="D385" t="str">
            <v>Contract life</v>
          </cell>
        </row>
        <row r="386">
          <cell r="C386" t="str">
            <v>Změna PNHMM</v>
          </cell>
          <cell r="D386" t="str">
            <v>Change in ANGMW</v>
          </cell>
        </row>
        <row r="387">
          <cell r="C387" t="str">
            <v>* Průměrné nominální hrubé měsíční mzdy</v>
          </cell>
          <cell r="D387" t="str">
            <v>* Average Nominal Gross Monthly Wage</v>
          </cell>
        </row>
        <row r="388">
          <cell r="C388" t="str">
            <v>Mzdový index</v>
          </cell>
          <cell r="D388" t="str">
            <v>Wage Index</v>
          </cell>
        </row>
        <row r="389">
          <cell r="C389" t="str">
            <v>výchozího roku</v>
          </cell>
          <cell r="D389" t="str">
            <v>from base year</v>
          </cell>
        </row>
        <row r="390">
          <cell r="C390" t="str">
            <v>Aktualizace ISC</v>
          </cell>
          <cell r="D390" t="str">
            <v>Actualization of CPI</v>
          </cell>
        </row>
        <row r="391">
          <cell r="C391" t="str">
            <v>Investice v oblasti Pitné Vody</v>
          </cell>
          <cell r="D391" t="str">
            <v>Investments to Drinking water</v>
          </cell>
        </row>
        <row r="392">
          <cell r="C392" t="str">
            <v>Investice v oblasti Odpadní Vody</v>
          </cell>
          <cell r="D392" t="str">
            <v>Investments to Wastewater</v>
          </cell>
        </row>
        <row r="393">
          <cell r="C393" t="str">
            <v>Zadat skutečnost</v>
          </cell>
          <cell r="D393" t="str">
            <v>To fill in Audited values of</v>
          </cell>
        </row>
        <row r="394">
          <cell r="C394" t="str">
            <v>Zadat odhad za 3/4 roku</v>
          </cell>
          <cell r="D394" t="str">
            <v>To fill in Reforecast for 3/4 of year</v>
          </cell>
        </row>
        <row r="395">
          <cell r="C395" t="str">
            <v>Odhad za</v>
          </cell>
          <cell r="D395" t="str">
            <v>Reforecast for the year</v>
          </cell>
        </row>
        <row r="396">
          <cell r="C396" t="str">
            <v>již vyplněn</v>
          </cell>
          <cell r="D396" t="str">
            <v>already done</v>
          </cell>
        </row>
        <row r="397">
          <cell r="C397" t="str">
            <v>Aktualizace ISC</v>
          </cell>
          <cell r="D397" t="str">
            <v>Actualization of CPI</v>
          </cell>
        </row>
        <row r="398">
          <cell r="C398" t="str">
            <v>Původní nájemné</v>
          </cell>
          <cell r="D398" t="str">
            <v>Original rent</v>
          </cell>
        </row>
        <row r="399">
          <cell r="C399" t="str">
            <v>Celková pevná platba (vč. Vyrovnávací - stálé ceny)</v>
          </cell>
          <cell r="D399" t="str">
            <v>Total fixed payment (incl. copmpensation - constant prices)</v>
          </cell>
        </row>
        <row r="400">
          <cell r="C400" t="str">
            <v>vstupující do vyrovnání</v>
          </cell>
          <cell r="D400" t="str">
            <v>entering the reconciliation</v>
          </cell>
        </row>
        <row r="401">
          <cell r="C401" t="str">
            <v>Požadovaný příjem</v>
          </cell>
          <cell r="D401" t="str">
            <v>Required Revenue</v>
          </cell>
        </row>
        <row r="402">
          <cell r="C402" t="str">
            <v>Standardní měřítko pro pohledávky (dny)</v>
          </cell>
          <cell r="D402" t="str">
            <v>Benchmark figure for accounts receivable (days)</v>
          </cell>
        </row>
        <row r="403">
          <cell r="C403" t="str">
            <v>Standardní měřítko pro závazky (dny)</v>
          </cell>
          <cell r="D403" t="str">
            <v>Benchmark figure for accounts payable (days)</v>
          </cell>
        </row>
        <row r="404">
          <cell r="C404" t="str">
            <v>Společné vstupy</v>
          </cell>
          <cell r="D404" t="str">
            <v>Shared inputs</v>
          </cell>
        </row>
        <row r="405">
          <cell r="C405" t="str">
            <v>Obecné</v>
          </cell>
          <cell r="D405" t="str">
            <v>General</v>
          </cell>
        </row>
        <row r="406">
          <cell r="C406" t="str">
            <v>Změny</v>
          </cell>
          <cell r="D406" t="str">
            <v>Changes</v>
          </cell>
        </row>
        <row r="407">
          <cell r="C407" t="str">
            <v>Index chemikálií</v>
          </cell>
          <cell r="D407" t="str">
            <v>Chemical index</v>
          </cell>
        </row>
        <row r="408">
          <cell r="C408" t="str">
            <v>Nastavení přístupu k Provozním nákladům</v>
          </cell>
          <cell r="D408" t="str">
            <v>Definition of approaches to OPEX</v>
          </cell>
        </row>
        <row r="409">
          <cell r="C409" t="str">
            <v>Ukazatele Povoleného zisku</v>
          </cell>
          <cell r="D409" t="str">
            <v>Allowed profit drivers</v>
          </cell>
        </row>
        <row r="410">
          <cell r="C410" t="str">
            <v>Povolený zisk</v>
          </cell>
          <cell r="D410" t="str">
            <v>Allowed profit</v>
          </cell>
        </row>
        <row r="411">
          <cell r="C411" t="str">
            <v>Historická hodnota potřebného Provozního majetku</v>
          </cell>
          <cell r="D411" t="str">
            <v>Historical value of Operating assets needed</v>
          </cell>
        </row>
        <row r="412">
          <cell r="C412" t="str">
            <v>Hodnota potřebného Provozního majetku</v>
          </cell>
          <cell r="D412" t="str">
            <v>Value of Operating assets needed</v>
          </cell>
        </row>
        <row r="413">
          <cell r="C413" t="str">
            <v>na 1000 m3 objemu kapacity</v>
          </cell>
          <cell r="D413" t="str">
            <v xml:space="preserve">per 1000 m3 volume capacity of </v>
          </cell>
        </row>
        <row r="414">
          <cell r="C414" t="str">
            <v xml:space="preserve"> na 1000 m3</v>
          </cell>
          <cell r="D414" t="str">
            <v xml:space="preserve"> per 1000 m3</v>
          </cell>
        </row>
        <row r="415">
          <cell r="C415" t="str">
            <v xml:space="preserve">Objem kapacity </v>
          </cell>
          <cell r="D415" t="str">
            <v>Volume capacity of</v>
          </cell>
        </row>
        <row r="416">
          <cell r="C416" t="str">
            <v>ÚV</v>
          </cell>
          <cell r="D416" t="str">
            <v>WTP</v>
          </cell>
        </row>
        <row r="417">
          <cell r="C417" t="str">
            <v>ČOV</v>
          </cell>
          <cell r="D417" t="str">
            <v>WWTP</v>
          </cell>
        </row>
        <row r="418">
          <cell r="C418" t="str">
            <v>Současné</v>
          </cell>
          <cell r="D418" t="str">
            <v>Existing</v>
          </cell>
        </row>
        <row r="419">
          <cell r="C419" t="str">
            <v>Nově připojené</v>
          </cell>
          <cell r="D419" t="str">
            <v>New added</v>
          </cell>
        </row>
        <row r="420">
          <cell r="C420" t="str">
            <v>Zrušené</v>
          </cell>
          <cell r="D420" t="str">
            <v>Cancelled</v>
          </cell>
        </row>
        <row r="421">
          <cell r="C421" t="str">
            <v>Stávající infrastruktura</v>
          </cell>
          <cell r="D421" t="str">
            <v>Existing infrastructure</v>
          </cell>
        </row>
        <row r="422">
          <cell r="C422" t="str">
            <v>Objem vody k realizaci</v>
          </cell>
          <cell r="D422" t="str">
            <v>Total input water</v>
          </cell>
        </row>
        <row r="423">
          <cell r="C423" t="str">
            <v>Látkové zatížení</v>
          </cell>
          <cell r="D423" t="str">
            <v>Pollution load</v>
          </cell>
        </row>
        <row r="424">
          <cell r="C424" t="str">
            <v>Fixní pevně dané</v>
          </cell>
          <cell r="D424" t="str">
            <v>Fixed cost ex ante</v>
          </cell>
        </row>
        <row r="425">
          <cell r="C425" t="str">
            <v>Dle objemu promítané</v>
          </cell>
          <cell r="D425" t="str">
            <v>Volume related true pass through</v>
          </cell>
        </row>
        <row r="426">
          <cell r="C426" t="str">
            <v xml:space="preserve"> - na m3 vody vyčištěné</v>
          </cell>
          <cell r="D426" t="str">
            <v xml:space="preserve"> - per m3 treated</v>
          </cell>
        </row>
        <row r="427">
          <cell r="C427" t="str">
            <v xml:space="preserve"> - na m3 vyrobené/čerpané vody</v>
          </cell>
          <cell r="D427" t="str">
            <v xml:space="preserve"> - per m3 produced/pumped</v>
          </cell>
        </row>
        <row r="428">
          <cell r="C428" t="str">
            <v xml:space="preserve"> - na m3 vody k realizaci</v>
          </cell>
          <cell r="D428" t="str">
            <v xml:space="preserve"> - per m3 total input water</v>
          </cell>
        </row>
        <row r="429">
          <cell r="C429" t="str">
            <v xml:space="preserve"> - celkem</v>
          </cell>
          <cell r="D429" t="str">
            <v xml:space="preserve"> - total</v>
          </cell>
        </row>
        <row r="430">
          <cell r="C430" t="str">
            <v>Dle objemu indexované</v>
          </cell>
          <cell r="D430" t="str">
            <v>Volume related indexed</v>
          </cell>
        </row>
        <row r="431">
          <cell r="C431" t="str">
            <v>Dle zatížení indexované</v>
          </cell>
          <cell r="D431" t="str">
            <v>Pollution related indexed</v>
          </cell>
        </row>
        <row r="432">
          <cell r="C432" t="str">
            <v xml:space="preserve"> - na tunu látkového zatížení</v>
          </cell>
          <cell r="D432" t="str">
            <v xml:space="preserve"> - per ton of pollution load</v>
          </cell>
        </row>
        <row r="433">
          <cell r="C433" t="str">
            <v xml:space="preserve"> - na m3 surové vody se zhoršenou jakostí</v>
          </cell>
          <cell r="D433" t="str">
            <v xml:space="preserve"> - per m3 water with decreased quality</v>
          </cell>
        </row>
        <row r="434">
          <cell r="C434" t="str">
            <v>tis. t/rok</v>
          </cell>
          <cell r="D434" t="str">
            <v>thou. t/yr</v>
          </cell>
        </row>
        <row r="435">
          <cell r="C435" t="str">
            <v>Kč/t</v>
          </cell>
          <cell r="D435" t="str">
            <v>CZK/t</v>
          </cell>
        </row>
        <row r="436">
          <cell r="C436" t="str">
            <v>Nově zřízené přípojky</v>
          </cell>
          <cell r="D436" t="str">
            <v>New added connections</v>
          </cell>
        </row>
        <row r="437">
          <cell r="C437" t="str">
            <v>Nájemné placené vlastníkovi</v>
          </cell>
          <cell r="D437" t="str">
            <v>Rent paid to owner</v>
          </cell>
        </row>
        <row r="438">
          <cell r="C438" t="str">
            <v>Platba za službu</v>
          </cell>
          <cell r="D438" t="str">
            <v>Service Payment</v>
          </cell>
        </row>
        <row r="439">
          <cell r="C439" t="str">
            <v>Výnos z vloženého hmotného kapitálu</v>
          </cell>
          <cell r="D439" t="str">
            <v>Return on tangible capital</v>
          </cell>
        </row>
        <row r="440">
          <cell r="C440" t="str">
            <v>Výnos z vloženého pracovního kapitálu</v>
          </cell>
          <cell r="D440" t="str">
            <v>Return on working capital</v>
          </cell>
        </row>
        <row r="441">
          <cell r="C441" t="str">
            <v>Vyrovnání</v>
          </cell>
          <cell r="D441" t="str">
            <v>Reconciliation</v>
          </cell>
        </row>
        <row r="442">
          <cell r="C442" t="str">
            <v xml:space="preserve"> dle skutečnosti</v>
          </cell>
          <cell r="D442" t="str">
            <v xml:space="preserve"> Actual</v>
          </cell>
        </row>
        <row r="443">
          <cell r="C443" t="str">
            <v xml:space="preserve"> dle odhadu</v>
          </cell>
          <cell r="D443" t="str">
            <v xml:space="preserve"> Forecast</v>
          </cell>
        </row>
        <row r="444">
          <cell r="C444" t="str">
            <v>Výnos z vloženého kapitálu</v>
          </cell>
          <cell r="D444" t="str">
            <v>Return on capital</v>
          </cell>
        </row>
        <row r="445">
          <cell r="C445" t="str">
            <v>Hodnoty celkem (nová i původní infrastruktura)</v>
          </cell>
          <cell r="D445" t="str">
            <v>Aggregate of values (both new and original infrastructure)</v>
          </cell>
        </row>
        <row r="446">
          <cell r="C446" t="str">
            <v>Stanovení faktoru 'z'</v>
          </cell>
          <cell r="D446" t="str">
            <v>Determination of factor 'z'</v>
          </cell>
        </row>
        <row r="447">
          <cell r="C447" t="str">
            <v>Indexované</v>
          </cell>
          <cell r="D447" t="str">
            <v>Indexed</v>
          </cell>
        </row>
        <row r="448">
          <cell r="C448" t="str">
            <v>Výnos z vloženého PK</v>
          </cell>
          <cell r="D448" t="str">
            <v>Return on WC</v>
          </cell>
        </row>
        <row r="449">
          <cell r="C449" t="str">
            <v>Přípojky</v>
          </cell>
          <cell r="D449" t="str">
            <v>Connections</v>
          </cell>
        </row>
        <row r="450">
          <cell r="C450" t="str">
            <v>příjmová část</v>
          </cell>
          <cell r="D450" t="str">
            <v>active part</v>
          </cell>
        </row>
        <row r="451">
          <cell r="C451" t="str">
            <v>Daň</v>
          </cell>
          <cell r="D451" t="str">
            <v>Tax</v>
          </cell>
        </row>
        <row r="452">
          <cell r="C452" t="str">
            <v>Část pasiv</v>
          </cell>
          <cell r="D452" t="str">
            <v>Passive part</v>
          </cell>
        </row>
        <row r="453">
          <cell r="C453" t="str">
            <v>Smlouva je na službu:</v>
          </cell>
          <cell r="D453" t="str">
            <v>Service under contract:</v>
          </cell>
        </row>
        <row r="454">
          <cell r="C454" t="str">
            <v>Dodávka a úprava pitné vody</v>
          </cell>
          <cell r="D454" t="str">
            <v>Drinking water supply and treatment</v>
          </cell>
        </row>
        <row r="455">
          <cell r="C455" t="str">
            <v>Pouze dodávka pitné vody</v>
          </cell>
          <cell r="D455" t="str">
            <v>Only drinking water supply</v>
          </cell>
        </row>
        <row r="456">
          <cell r="C456" t="str">
            <v>Pouze úprava pitné vody</v>
          </cell>
          <cell r="D456" t="str">
            <v>Only drinking water treatment</v>
          </cell>
        </row>
        <row r="457">
          <cell r="C457" t="str">
            <v>Odvádění a čištění odpadních vod</v>
          </cell>
          <cell r="D457" t="str">
            <v>Wastewater collection and treatment</v>
          </cell>
        </row>
        <row r="458">
          <cell r="C458" t="str">
            <v>Pouze odvádění odpadních vod</v>
          </cell>
          <cell r="D458" t="str">
            <v>Only wastewater collection</v>
          </cell>
        </row>
        <row r="459">
          <cell r="C459" t="str">
            <v>Pouze čištění odpadních vod</v>
          </cell>
          <cell r="D459" t="str">
            <v>Only wastewater treatment</v>
          </cell>
        </row>
        <row r="460">
          <cell r="C460" t="str">
            <v>Směrodatný objem vody fakturované</v>
          </cell>
          <cell r="D460" t="str">
            <v>Indicative water volume</v>
          </cell>
        </row>
        <row r="461">
          <cell r="C461" t="str">
            <v>Rozložení rizik</v>
          </cell>
          <cell r="D461" t="str">
            <v>Risk allocation</v>
          </cell>
        </row>
        <row r="462">
          <cell r="C462" t="str">
            <v>Dodávka pitné vody</v>
          </cell>
          <cell r="D462" t="str">
            <v>Drinking water supply</v>
          </cell>
        </row>
        <row r="463">
          <cell r="C463" t="str">
            <v>Úprava pitné vody</v>
          </cell>
          <cell r="D463" t="str">
            <v>Drinking water treatment</v>
          </cell>
        </row>
        <row r="464">
          <cell r="C464" t="str">
            <v>Odvádění odpadních vod</v>
          </cell>
          <cell r="D464" t="str">
            <v>Wastewater collection</v>
          </cell>
        </row>
        <row r="465">
          <cell r="C465" t="str">
            <v>Čištění odpadních vod</v>
          </cell>
          <cell r="D465" t="str">
            <v>Wastewater treatment</v>
          </cell>
        </row>
        <row r="466">
          <cell r="C466" t="str">
            <v>Hodnoty provozování</v>
          </cell>
          <cell r="D466" t="str">
            <v>Operational values</v>
          </cell>
        </row>
        <row r="467">
          <cell r="C467" t="str">
            <v>Regulatorní hodnota majetku (ReHoM)</v>
          </cell>
          <cell r="D467" t="str">
            <v>Regulated asset base (RAB)</v>
          </cell>
        </row>
        <row r="468">
          <cell r="C468" t="str">
            <v>Průměrná životnost Provozního majetku</v>
          </cell>
          <cell r="D468" t="str">
            <v>Average lifetime of Operational assets</v>
          </cell>
        </row>
        <row r="469">
          <cell r="C469" t="str">
            <v>Průměrné stáří Provozního majetku</v>
          </cell>
          <cell r="D469" t="str">
            <v>Average age of Operational assets</v>
          </cell>
        </row>
        <row r="470">
          <cell r="C470" t="str">
            <v>ReHoM - provozní</v>
          </cell>
          <cell r="D470" t="str">
            <v>RAB - operational assets</v>
          </cell>
        </row>
        <row r="471">
          <cell r="C471" t="str">
            <v>Regulatorní hodnota kapitálu (ReHoK)</v>
          </cell>
          <cell r="D471" t="str">
            <v>Regulatory capital value (RCV)</v>
          </cell>
        </row>
        <row r="472">
          <cell r="C472" t="str">
            <v>Variabilní náklady</v>
          </cell>
          <cell r="D472" t="str">
            <v>Variable opex</v>
          </cell>
        </row>
        <row r="473">
          <cell r="C473" t="str">
            <v>Úprava odpisů o inflaci</v>
          </cell>
          <cell r="D473" t="str">
            <v>Depreciation adjustment for real</v>
          </cell>
        </row>
        <row r="474">
          <cell r="C474" t="str">
            <v xml:space="preserve">Odhad </v>
          </cell>
          <cell r="D474" t="str">
            <v xml:space="preserve">Forecast </v>
          </cell>
        </row>
        <row r="475">
          <cell r="C475" t="str">
            <v xml:space="preserve">Skutečnost </v>
          </cell>
          <cell r="D475" t="str">
            <v xml:space="preserve">Actual </v>
          </cell>
        </row>
        <row r="476">
          <cell r="C476" t="str">
            <v>Pouze pro vyplnění ex post</v>
          </cell>
          <cell r="D476" t="str">
            <v>Only ex post data</v>
          </cell>
        </row>
        <row r="477">
          <cell r="C477" t="str">
            <v>Objem surové vody se zhoršenou jakostí</v>
          </cell>
          <cell r="D477" t="str">
            <v>Input water volume with decreased quality</v>
          </cell>
        </row>
        <row r="478">
          <cell r="C478" t="str">
            <v>Celkové náklady za</v>
          </cell>
          <cell r="D478" t="str">
            <v>Total opex of</v>
          </cell>
        </row>
        <row r="479">
          <cell r="C479" t="str">
            <v>pro danou službu</v>
          </cell>
          <cell r="D479" t="str">
            <v>for given service</v>
          </cell>
        </row>
        <row r="480">
          <cell r="C480" t="str">
            <v>Objem vody ze zvláštního zdroje</v>
          </cell>
          <cell r="D480" t="str">
            <v>Specific water resource volume</v>
          </cell>
        </row>
        <row r="481">
          <cell r="C481" t="str">
            <v>Vícenáklady za vodu ze zvlášťního zdroje</v>
          </cell>
          <cell r="D481" t="str">
            <v>Specific water resource overcosts</v>
          </cell>
        </row>
        <row r="486">
          <cell r="C486" t="str">
            <v>English</v>
          </cell>
          <cell r="D486" t="str">
            <v>Czech</v>
          </cell>
        </row>
        <row r="487">
          <cell r="C487" t="str">
            <v>Name of Owner</v>
          </cell>
          <cell r="D487" t="str">
            <v>Název vlastníka</v>
          </cell>
        </row>
        <row r="488">
          <cell r="C488" t="str">
            <v>Person in charge</v>
          </cell>
          <cell r="D488" t="str">
            <v>Zodpovědná osoba</v>
          </cell>
        </row>
        <row r="489">
          <cell r="C489" t="str">
            <v>Name of Operator</v>
          </cell>
          <cell r="D489" t="str">
            <v>Název provozovatele</v>
          </cell>
        </row>
        <row r="490">
          <cell r="C490" t="str">
            <v>Person in charge</v>
          </cell>
          <cell r="D490" t="str">
            <v>Zodpovědná osoba</v>
          </cell>
        </row>
        <row r="491">
          <cell r="C491" t="str">
            <v>Contact address</v>
          </cell>
          <cell r="D491" t="str">
            <v>Kontaktní adresa</v>
          </cell>
        </row>
        <row r="492">
          <cell r="C492" t="str">
            <v>Telephone number</v>
          </cell>
          <cell r="D492" t="str">
            <v>Telefonní číslo</v>
          </cell>
        </row>
        <row r="493">
          <cell r="C493" t="str">
            <v>Fax number</v>
          </cell>
          <cell r="D493" t="str">
            <v>Fax</v>
          </cell>
        </row>
        <row r="494">
          <cell r="C494" t="str">
            <v>E-mail</v>
          </cell>
          <cell r="D494" t="str">
            <v>E-mail</v>
          </cell>
        </row>
        <row r="495">
          <cell r="C495" t="str">
            <v>Completed by</v>
          </cell>
          <cell r="D495" t="str">
            <v>Vyplnil</v>
          </cell>
        </row>
        <row r="496">
          <cell r="C496" t="str">
            <v>Financial Model for Service Only Contracts</v>
          </cell>
          <cell r="D496" t="str">
            <v>Finanční model pro Služební provozní smlouvy</v>
          </cell>
        </row>
        <row r="497">
          <cell r="C497" t="str">
            <v>This project is co-financed by the European Union</v>
          </cell>
          <cell r="D497" t="str">
            <v>Tento projekt je spolufinancován Evropskou unií</v>
          </cell>
        </row>
        <row r="498">
          <cell r="C498" t="str">
            <v>Project Reference Data</v>
          </cell>
          <cell r="D498" t="str">
            <v>Identifikační údaje</v>
          </cell>
        </row>
        <row r="499">
          <cell r="C499" t="str">
            <v>Infrastructure Owner</v>
          </cell>
          <cell r="D499" t="str">
            <v>Vlastník infrastruktury</v>
          </cell>
        </row>
        <row r="500">
          <cell r="C500" t="str">
            <v>Infrastructure Operator</v>
          </cell>
          <cell r="D500" t="str">
            <v>Provozovatel infrastruktury</v>
          </cell>
        </row>
        <row r="501">
          <cell r="C501" t="str">
            <v>Version</v>
          </cell>
          <cell r="D501" t="str">
            <v>Verze</v>
          </cell>
        </row>
        <row r="502">
          <cell r="C502" t="str">
            <v>Date</v>
          </cell>
          <cell r="D502" t="str">
            <v>Datum</v>
          </cell>
        </row>
        <row r="503">
          <cell r="C503" t="str">
            <v>developed under contract for the project 'Financial and technical consultancy for SEF CR and MoE in the implementation of Annex 7 OPE'</v>
          </cell>
          <cell r="D503" t="str">
            <v>vypracován v rámci zakázky "Zajišťování finančně-technického poradenství pro SFŽP ČR a MŽP při implementaci přílohy č.7 OP ŽP"</v>
          </cell>
        </row>
        <row r="504">
          <cell r="C504" t="str">
            <v>Reconciliation tool for setting water and wastewater tariffs</v>
          </cell>
          <cell r="D504" t="str">
            <v>Vyrovnávací nástroj pro tvorbu cen pro vodné a stočné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hno@meu.kraslice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FFFFCC"/>
  </sheetPr>
  <dimension ref="B2:N42"/>
  <sheetViews>
    <sheetView topLeftCell="A10" zoomScaleNormal="100" workbookViewId="0">
      <selection activeCell="C14" sqref="C14:F20"/>
    </sheetView>
  </sheetViews>
  <sheetFormatPr defaultRowHeight="15" x14ac:dyDescent="0.25"/>
  <cols>
    <col min="1" max="1" width="3.85546875" customWidth="1"/>
    <col min="2" max="2" width="18.7109375" customWidth="1"/>
    <col min="3" max="3" width="44.7109375" customWidth="1"/>
    <col min="5" max="6" width="12.7109375" customWidth="1"/>
    <col min="7" max="7" width="4" customWidth="1"/>
  </cols>
  <sheetData>
    <row r="2" spans="2:14" ht="20.25" x14ac:dyDescent="0.3">
      <c r="B2" s="658" t="s">
        <v>247</v>
      </c>
      <c r="C2" s="661"/>
      <c r="D2" s="661"/>
      <c r="E2" s="661"/>
      <c r="F2" s="662"/>
      <c r="H2" s="31"/>
      <c r="I2" s="31"/>
      <c r="J2" s="31"/>
      <c r="K2" s="31"/>
      <c r="L2" s="31"/>
      <c r="M2" s="31"/>
      <c r="N2" s="31"/>
    </row>
    <row r="3" spans="2:14" ht="35.25" customHeight="1" x14ac:dyDescent="0.25">
      <c r="B3" s="646" t="s">
        <v>261</v>
      </c>
      <c r="C3" s="647"/>
      <c r="D3" s="647"/>
      <c r="E3" s="647"/>
      <c r="F3" s="648"/>
      <c r="H3" s="31"/>
      <c r="I3" s="31"/>
      <c r="J3" s="31"/>
      <c r="K3" s="31"/>
      <c r="L3" s="31"/>
      <c r="M3" s="31"/>
      <c r="N3" s="31"/>
    </row>
    <row r="4" spans="2:14" x14ac:dyDescent="0.25">
      <c r="B4" s="663"/>
      <c r="C4" s="664"/>
      <c r="D4" s="664"/>
      <c r="E4" s="664"/>
      <c r="F4" s="665"/>
    </row>
    <row r="5" spans="2:14" x14ac:dyDescent="0.25">
      <c r="B5" s="663"/>
      <c r="C5" s="666"/>
      <c r="D5" s="666"/>
      <c r="E5" s="666"/>
      <c r="F5" s="667"/>
    </row>
    <row r="6" spans="2:14" x14ac:dyDescent="0.25">
      <c r="B6" s="222"/>
      <c r="C6" s="223"/>
      <c r="D6" s="223"/>
      <c r="E6" s="223"/>
      <c r="F6" s="224"/>
    </row>
    <row r="7" spans="2:14" x14ac:dyDescent="0.25">
      <c r="B7" s="219"/>
      <c r="C7" s="220"/>
      <c r="D7" s="220"/>
      <c r="E7" s="225" t="s">
        <v>233</v>
      </c>
      <c r="F7" s="225" t="s">
        <v>234</v>
      </c>
    </row>
    <row r="8" spans="2:14" x14ac:dyDescent="0.25">
      <c r="B8" s="226"/>
      <c r="C8" s="227"/>
      <c r="D8" s="227"/>
      <c r="E8" s="568" t="s">
        <v>437</v>
      </c>
      <c r="F8" s="228" t="s">
        <v>438</v>
      </c>
    </row>
    <row r="10" spans="2:14" ht="20.25" x14ac:dyDescent="0.3">
      <c r="B10" s="658" t="s">
        <v>235</v>
      </c>
      <c r="C10" s="659"/>
      <c r="D10" s="659"/>
      <c r="E10" s="659"/>
      <c r="F10" s="668"/>
      <c r="G10" s="230"/>
      <c r="H10" s="230"/>
      <c r="I10" s="230"/>
      <c r="J10" s="230"/>
    </row>
    <row r="11" spans="2:14" x14ac:dyDescent="0.25">
      <c r="B11" s="219"/>
      <c r="C11" s="220"/>
      <c r="D11" s="220"/>
      <c r="E11" s="220"/>
      <c r="F11" s="221"/>
      <c r="G11" s="230"/>
      <c r="H11" s="230"/>
      <c r="I11" s="230"/>
      <c r="J11" s="230"/>
    </row>
    <row r="12" spans="2:14" x14ac:dyDescent="0.25">
      <c r="B12" s="231" t="s">
        <v>240</v>
      </c>
      <c r="C12" s="232"/>
      <c r="D12" s="232"/>
      <c r="E12" s="232"/>
      <c r="F12" s="218"/>
      <c r="G12" s="234"/>
      <c r="H12" s="234"/>
      <c r="I12" s="234"/>
      <c r="J12" s="234"/>
    </row>
    <row r="13" spans="2:14" x14ac:dyDescent="0.25">
      <c r="B13" s="219"/>
      <c r="C13" s="220"/>
      <c r="D13" s="220"/>
      <c r="E13" s="233"/>
      <c r="F13" s="242"/>
      <c r="G13" s="230"/>
      <c r="H13" s="230"/>
      <c r="I13" s="230"/>
      <c r="J13" s="230"/>
    </row>
    <row r="14" spans="2:14" x14ac:dyDescent="0.25">
      <c r="B14" s="229" t="s">
        <v>238</v>
      </c>
      <c r="C14" s="655" t="s">
        <v>439</v>
      </c>
      <c r="D14" s="656"/>
      <c r="E14" s="656"/>
      <c r="F14" s="657"/>
      <c r="G14" s="235"/>
      <c r="H14" s="235"/>
      <c r="I14" s="235"/>
      <c r="J14" s="235"/>
    </row>
    <row r="15" spans="2:14" x14ac:dyDescent="0.25">
      <c r="B15" s="229" t="s">
        <v>271</v>
      </c>
      <c r="C15" s="655"/>
      <c r="D15" s="656"/>
      <c r="E15" s="656"/>
      <c r="F15" s="657"/>
      <c r="G15" s="235"/>
      <c r="H15" s="235"/>
      <c r="I15" s="235"/>
      <c r="J15" s="235"/>
    </row>
    <row r="16" spans="2:14" x14ac:dyDescent="0.25">
      <c r="B16" s="229" t="s">
        <v>239</v>
      </c>
      <c r="C16" s="655" t="s">
        <v>440</v>
      </c>
      <c r="D16" s="656"/>
      <c r="E16" s="656"/>
      <c r="F16" s="657"/>
      <c r="G16" s="235"/>
      <c r="H16" s="235"/>
      <c r="I16" s="235"/>
      <c r="J16" s="235"/>
    </row>
    <row r="17" spans="2:10" x14ac:dyDescent="0.25">
      <c r="B17" s="229" t="s">
        <v>236</v>
      </c>
      <c r="C17" s="655" t="s">
        <v>441</v>
      </c>
      <c r="D17" s="656"/>
      <c r="E17" s="656"/>
      <c r="F17" s="657"/>
      <c r="G17" s="235"/>
      <c r="H17" s="235"/>
      <c r="I17" s="235"/>
      <c r="J17" s="235"/>
    </row>
    <row r="18" spans="2:10" x14ac:dyDescent="0.25">
      <c r="B18" s="229" t="s">
        <v>237</v>
      </c>
      <c r="C18" s="655" t="s">
        <v>442</v>
      </c>
      <c r="D18" s="656"/>
      <c r="E18" s="656"/>
      <c r="F18" s="657"/>
      <c r="G18" s="235"/>
      <c r="H18" s="235"/>
      <c r="I18" s="235"/>
      <c r="J18" s="235"/>
    </row>
    <row r="19" spans="2:10" x14ac:dyDescent="0.25">
      <c r="B19" s="229" t="s">
        <v>255</v>
      </c>
      <c r="C19" s="660" t="s">
        <v>443</v>
      </c>
      <c r="D19" s="656"/>
      <c r="E19" s="656"/>
      <c r="F19" s="657"/>
      <c r="G19" s="235"/>
      <c r="H19" s="235"/>
      <c r="I19" s="235"/>
      <c r="J19" s="235"/>
    </row>
    <row r="20" spans="2:10" x14ac:dyDescent="0.25">
      <c r="B20" s="229" t="s">
        <v>234</v>
      </c>
      <c r="C20" s="655" t="s">
        <v>444</v>
      </c>
      <c r="D20" s="656"/>
      <c r="E20" s="656"/>
      <c r="F20" s="657"/>
      <c r="G20" s="230"/>
      <c r="H20" s="230"/>
      <c r="I20" s="230"/>
      <c r="J20" s="230"/>
    </row>
    <row r="21" spans="2:10" x14ac:dyDescent="0.25">
      <c r="B21" s="219"/>
      <c r="C21" s="220"/>
      <c r="D21" s="220"/>
      <c r="E21" s="233"/>
      <c r="F21" s="242"/>
      <c r="G21" s="230"/>
      <c r="H21" s="230"/>
      <c r="I21" s="230"/>
      <c r="J21" s="230"/>
    </row>
    <row r="22" spans="2:10" x14ac:dyDescent="0.25">
      <c r="B22" s="231" t="s">
        <v>267</v>
      </c>
      <c r="C22" s="232"/>
      <c r="D22" s="232"/>
      <c r="E22" s="232"/>
      <c r="F22" s="218"/>
      <c r="G22" s="234"/>
      <c r="H22" s="234"/>
      <c r="I22" s="234"/>
      <c r="J22" s="234"/>
    </row>
    <row r="23" spans="2:10" x14ac:dyDescent="0.25">
      <c r="B23" s="219"/>
      <c r="C23" s="220"/>
      <c r="D23" s="220"/>
      <c r="E23" s="233"/>
      <c r="F23" s="242"/>
      <c r="G23" s="230"/>
      <c r="H23" s="230"/>
      <c r="I23" s="230"/>
      <c r="J23" s="230"/>
    </row>
    <row r="24" spans="2:10" x14ac:dyDescent="0.25">
      <c r="B24" s="229" t="s">
        <v>238</v>
      </c>
      <c r="C24" s="643"/>
      <c r="D24" s="644"/>
      <c r="E24" s="644"/>
      <c r="F24" s="645"/>
      <c r="G24" s="235"/>
      <c r="H24" s="235"/>
      <c r="I24" s="235"/>
      <c r="J24" s="235"/>
    </row>
    <row r="25" spans="2:10" x14ac:dyDescent="0.25">
      <c r="B25" s="229" t="s">
        <v>271</v>
      </c>
      <c r="C25" s="643"/>
      <c r="D25" s="644"/>
      <c r="E25" s="644"/>
      <c r="F25" s="645"/>
      <c r="G25" s="235"/>
      <c r="H25" s="235"/>
      <c r="I25" s="235"/>
      <c r="J25" s="235"/>
    </row>
    <row r="26" spans="2:10" x14ac:dyDescent="0.25">
      <c r="B26" s="229" t="s">
        <v>239</v>
      </c>
      <c r="C26" s="643"/>
      <c r="D26" s="644"/>
      <c r="E26" s="644"/>
      <c r="F26" s="645"/>
      <c r="G26" s="235"/>
      <c r="H26" s="235"/>
      <c r="I26" s="235"/>
      <c r="J26" s="235"/>
    </row>
    <row r="27" spans="2:10" x14ac:dyDescent="0.25">
      <c r="B27" s="229" t="s">
        <v>236</v>
      </c>
      <c r="C27" s="643"/>
      <c r="D27" s="644"/>
      <c r="E27" s="644"/>
      <c r="F27" s="645"/>
      <c r="G27" s="235"/>
      <c r="H27" s="235"/>
      <c r="I27" s="235"/>
      <c r="J27" s="235"/>
    </row>
    <row r="28" spans="2:10" x14ac:dyDescent="0.25">
      <c r="B28" s="229" t="s">
        <v>237</v>
      </c>
      <c r="C28" s="643"/>
      <c r="D28" s="644"/>
      <c r="E28" s="644"/>
      <c r="F28" s="645"/>
      <c r="G28" s="235"/>
      <c r="H28" s="235"/>
      <c r="I28" s="235"/>
      <c r="J28" s="235"/>
    </row>
    <row r="29" spans="2:10" x14ac:dyDescent="0.25">
      <c r="B29" s="236" t="s">
        <v>255</v>
      </c>
      <c r="C29" s="643"/>
      <c r="D29" s="644"/>
      <c r="E29" s="644"/>
      <c r="F29" s="645"/>
      <c r="G29" s="235"/>
      <c r="H29" s="235"/>
      <c r="I29" s="235"/>
      <c r="J29" s="235"/>
    </row>
    <row r="30" spans="2:10" x14ac:dyDescent="0.25">
      <c r="B30" s="229" t="s">
        <v>234</v>
      </c>
      <c r="C30" s="643"/>
      <c r="D30" s="644"/>
      <c r="E30" s="644"/>
      <c r="F30" s="645"/>
      <c r="G30" s="235"/>
      <c r="H30" s="235"/>
      <c r="I30" s="235"/>
      <c r="J30" s="235"/>
    </row>
    <row r="31" spans="2:10" x14ac:dyDescent="0.25">
      <c r="B31" s="237"/>
      <c r="C31" s="237"/>
      <c r="D31" s="237"/>
      <c r="E31" s="237"/>
      <c r="F31" s="237"/>
      <c r="G31" s="230"/>
      <c r="H31" s="230"/>
      <c r="I31" s="230"/>
      <c r="J31" s="230"/>
    </row>
    <row r="32" spans="2:10" ht="20.25" x14ac:dyDescent="0.3">
      <c r="B32" s="658" t="s">
        <v>435</v>
      </c>
      <c r="C32" s="659"/>
      <c r="D32" s="659"/>
      <c r="E32" s="659"/>
      <c r="F32" s="659"/>
      <c r="G32" s="239"/>
      <c r="H32" s="240"/>
      <c r="I32" s="240"/>
      <c r="J32" s="240"/>
    </row>
    <row r="33" spans="2:10" ht="15" customHeight="1" x14ac:dyDescent="0.25">
      <c r="B33" s="649" t="s">
        <v>262</v>
      </c>
      <c r="C33" s="650"/>
      <c r="D33" s="650"/>
      <c r="E33" s="650"/>
      <c r="F33" s="651"/>
      <c r="G33" s="238"/>
      <c r="H33" s="241"/>
      <c r="I33" s="241"/>
      <c r="J33" s="241"/>
    </row>
    <row r="34" spans="2:10" x14ac:dyDescent="0.25">
      <c r="B34" s="649"/>
      <c r="C34" s="650"/>
      <c r="D34" s="650"/>
      <c r="E34" s="650"/>
      <c r="F34" s="651"/>
      <c r="G34" s="238"/>
      <c r="H34" s="241"/>
      <c r="I34" s="241"/>
      <c r="J34" s="241"/>
    </row>
    <row r="35" spans="2:10" x14ac:dyDescent="0.25">
      <c r="B35" s="649"/>
      <c r="C35" s="650"/>
      <c r="D35" s="650"/>
      <c r="E35" s="650"/>
      <c r="F35" s="651"/>
      <c r="G35" s="238"/>
      <c r="H35" s="241"/>
      <c r="I35" s="241"/>
      <c r="J35" s="241"/>
    </row>
    <row r="36" spans="2:10" x14ac:dyDescent="0.25">
      <c r="B36" s="652"/>
      <c r="C36" s="653"/>
      <c r="D36" s="653"/>
      <c r="E36" s="653"/>
      <c r="F36" s="654"/>
      <c r="G36" s="238"/>
      <c r="H36" s="241"/>
      <c r="I36" s="241"/>
      <c r="J36" s="241"/>
    </row>
    <row r="37" spans="2:10" x14ac:dyDescent="0.25">
      <c r="H37" s="241"/>
      <c r="I37" s="241"/>
      <c r="J37" s="241"/>
    </row>
    <row r="38" spans="2:10" x14ac:dyDescent="0.25">
      <c r="H38" s="241"/>
      <c r="I38" s="241"/>
      <c r="J38" s="241"/>
    </row>
    <row r="39" spans="2:10" x14ac:dyDescent="0.25">
      <c r="H39" s="241"/>
      <c r="I39" s="241"/>
      <c r="J39" s="241"/>
    </row>
    <row r="40" spans="2:10" x14ac:dyDescent="0.25">
      <c r="H40" s="241"/>
      <c r="I40" s="241"/>
      <c r="J40" s="241"/>
    </row>
    <row r="41" spans="2:10" x14ac:dyDescent="0.25">
      <c r="H41" s="241"/>
      <c r="I41" s="241"/>
      <c r="J41" s="241"/>
    </row>
    <row r="42" spans="2:10" x14ac:dyDescent="0.25">
      <c r="H42" s="241"/>
      <c r="I42" s="241"/>
      <c r="J42" s="241"/>
    </row>
  </sheetData>
  <mergeCells count="21">
    <mergeCell ref="B2:F2"/>
    <mergeCell ref="B4:F4"/>
    <mergeCell ref="B5:F5"/>
    <mergeCell ref="C16:F16"/>
    <mergeCell ref="C17:F17"/>
    <mergeCell ref="B10:F10"/>
    <mergeCell ref="C14:F14"/>
    <mergeCell ref="C15:F15"/>
    <mergeCell ref="C28:F28"/>
    <mergeCell ref="C29:F29"/>
    <mergeCell ref="B3:F3"/>
    <mergeCell ref="B33:F36"/>
    <mergeCell ref="C20:F20"/>
    <mergeCell ref="B32:F32"/>
    <mergeCell ref="C18:F18"/>
    <mergeCell ref="C19:F19"/>
    <mergeCell ref="C24:F24"/>
    <mergeCell ref="C26:F26"/>
    <mergeCell ref="C27:F27"/>
    <mergeCell ref="C25:F25"/>
    <mergeCell ref="C30:F30"/>
  </mergeCells>
  <hyperlinks>
    <hyperlink ref="C19" r:id="rId1" xr:uid="{35086C88-FE99-4816-8647-E106540669A3}"/>
  </hyperlinks>
  <pageMargins left="0.7" right="0.7" top="0.78740157499999996" bottom="0.78740157499999996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99"/>
  </sheetPr>
  <dimension ref="A1:Y78"/>
  <sheetViews>
    <sheetView showGridLines="0" topLeftCell="A28" zoomScaleNormal="100" workbookViewId="0">
      <selection activeCell="F42" sqref="F42:I42"/>
    </sheetView>
  </sheetViews>
  <sheetFormatPr defaultRowHeight="15" x14ac:dyDescent="0.25"/>
  <cols>
    <col min="1" max="1" width="3.85546875" customWidth="1"/>
    <col min="2" max="2" width="3.140625" customWidth="1"/>
    <col min="3" max="3" width="14.28515625" customWidth="1"/>
    <col min="5" max="15" width="9.7109375" customWidth="1"/>
    <col min="16" max="16" width="3.140625" customWidth="1"/>
    <col min="17" max="17" width="3.85546875" customWidth="1"/>
  </cols>
  <sheetData>
    <row r="1" spans="1:25" x14ac:dyDescent="0.25">
      <c r="A1" s="94"/>
      <c r="B1" s="95" t="s">
        <v>129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260"/>
      <c r="S1" s="260"/>
      <c r="T1" s="260"/>
      <c r="U1" s="260"/>
      <c r="V1" s="260"/>
      <c r="W1" s="260"/>
      <c r="X1" s="260"/>
    </row>
    <row r="2" spans="1:25" x14ac:dyDescent="0.25">
      <c r="A2" s="94"/>
      <c r="B2" s="64"/>
      <c r="C2" s="689" t="s">
        <v>349</v>
      </c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1"/>
      <c r="Q2" s="94"/>
      <c r="R2" s="260"/>
      <c r="S2" s="260"/>
      <c r="T2" s="260"/>
      <c r="U2" s="260"/>
      <c r="V2" s="260"/>
      <c r="W2" s="260"/>
      <c r="X2" s="260"/>
    </row>
    <row r="3" spans="1:25" x14ac:dyDescent="0.25">
      <c r="A3" s="94"/>
      <c r="B3" s="64"/>
      <c r="C3" s="692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4"/>
      <c r="Q3" s="94"/>
      <c r="R3" s="260"/>
      <c r="S3" s="260"/>
      <c r="T3" s="260"/>
      <c r="U3" s="260"/>
      <c r="V3" s="260"/>
      <c r="W3" s="260"/>
      <c r="X3" s="260"/>
    </row>
    <row r="4" spans="1:25" x14ac:dyDescent="0.25">
      <c r="A4" s="94"/>
      <c r="B4" s="64"/>
      <c r="C4" s="64"/>
      <c r="D4" s="64"/>
      <c r="E4" s="64"/>
      <c r="F4" s="64"/>
      <c r="G4" s="64"/>
      <c r="H4" s="64"/>
      <c r="I4" s="64"/>
      <c r="J4" s="64"/>
      <c r="K4" s="64"/>
      <c r="L4" s="81"/>
      <c r="M4" s="81"/>
      <c r="N4" s="81"/>
      <c r="O4" s="81"/>
      <c r="P4" s="78"/>
      <c r="Q4" s="94"/>
      <c r="R4" s="243"/>
      <c r="S4" s="243"/>
      <c r="T4" s="368"/>
      <c r="U4" s="368"/>
      <c r="V4" s="368"/>
      <c r="W4" s="342"/>
      <c r="X4" s="342"/>
    </row>
    <row r="5" spans="1:25" x14ac:dyDescent="0.25">
      <c r="A5" s="94"/>
      <c r="B5" s="64"/>
      <c r="C5" s="331" t="s">
        <v>310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4"/>
      <c r="Q5" s="94"/>
      <c r="R5" s="243"/>
      <c r="S5" s="243"/>
      <c r="T5" s="243"/>
      <c r="U5" s="243"/>
      <c r="V5" s="243"/>
      <c r="W5" s="243"/>
      <c r="X5" s="243"/>
    </row>
    <row r="6" spans="1:25" x14ac:dyDescent="0.25">
      <c r="A6" s="94"/>
      <c r="B6" s="71"/>
      <c r="C6" s="515" t="s">
        <v>436</v>
      </c>
      <c r="D6" s="516"/>
      <c r="E6" s="516"/>
      <c r="F6" s="516"/>
      <c r="G6" s="516"/>
      <c r="H6" s="516"/>
      <c r="I6" s="516"/>
      <c r="J6" s="517"/>
      <c r="K6" s="81"/>
      <c r="L6" s="81"/>
      <c r="M6" s="81"/>
      <c r="N6" s="81"/>
      <c r="O6" s="81"/>
      <c r="P6" s="72"/>
      <c r="Q6" s="94"/>
      <c r="R6" s="243"/>
      <c r="S6" s="243"/>
      <c r="T6" s="243"/>
      <c r="U6" s="243"/>
      <c r="V6" s="243"/>
      <c r="W6" s="243"/>
      <c r="X6" s="243"/>
    </row>
    <row r="7" spans="1:25" x14ac:dyDescent="0.25">
      <c r="A7" s="94"/>
      <c r="B7" s="71"/>
      <c r="C7" s="518" t="s">
        <v>265</v>
      </c>
      <c r="D7" s="519"/>
      <c r="E7" s="519"/>
      <c r="F7" s="519"/>
      <c r="G7" s="519"/>
      <c r="H7" s="519"/>
      <c r="I7" s="519"/>
      <c r="J7" s="520"/>
      <c r="K7" s="81"/>
      <c r="L7" s="81"/>
      <c r="M7" s="81"/>
      <c r="N7" s="81"/>
      <c r="O7" s="81"/>
      <c r="P7" s="72"/>
      <c r="Q7" s="94"/>
      <c r="R7" s="243"/>
      <c r="S7" s="243"/>
      <c r="T7" s="368"/>
      <c r="U7" s="368"/>
      <c r="V7" s="368"/>
      <c r="W7" s="342"/>
      <c r="X7" s="342"/>
    </row>
    <row r="8" spans="1:25" x14ac:dyDescent="0.25">
      <c r="A8" s="94"/>
      <c r="B8" s="71"/>
      <c r="C8" s="303" t="s">
        <v>226</v>
      </c>
      <c r="D8" s="304"/>
      <c r="E8" s="304"/>
      <c r="F8" s="304"/>
      <c r="G8" s="304"/>
      <c r="H8" s="304"/>
      <c r="I8" s="304"/>
      <c r="J8" s="305"/>
      <c r="K8" s="81"/>
      <c r="L8" s="81"/>
      <c r="M8" s="81"/>
      <c r="N8" s="81"/>
      <c r="O8" s="81"/>
      <c r="Q8" s="94"/>
      <c r="R8" s="243"/>
      <c r="S8" s="243"/>
      <c r="T8" s="368"/>
      <c r="U8" s="368"/>
      <c r="V8" s="368"/>
      <c r="W8" s="342"/>
      <c r="X8" s="342"/>
    </row>
    <row r="9" spans="1:25" x14ac:dyDescent="0.25">
      <c r="A9" s="94"/>
      <c r="B9" s="71"/>
      <c r="C9" s="521" t="s">
        <v>180</v>
      </c>
      <c r="D9" s="522"/>
      <c r="E9" s="522"/>
      <c r="F9" s="522"/>
      <c r="G9" s="522"/>
      <c r="H9" s="522"/>
      <c r="I9" s="522"/>
      <c r="J9" s="523"/>
      <c r="K9" s="81"/>
      <c r="L9" s="81"/>
      <c r="M9" s="81"/>
      <c r="N9" s="81"/>
      <c r="O9" s="81"/>
      <c r="Q9" s="94"/>
      <c r="R9" s="369"/>
      <c r="S9" s="243"/>
      <c r="T9" s="368"/>
      <c r="U9" s="368"/>
      <c r="V9" s="368"/>
      <c r="W9" s="342"/>
      <c r="X9" s="342"/>
    </row>
    <row r="10" spans="1:25" x14ac:dyDescent="0.25">
      <c r="A10" s="94"/>
      <c r="B10" s="71"/>
      <c r="C10" s="306" t="s">
        <v>175</v>
      </c>
      <c r="D10" s="307"/>
      <c r="E10" s="307"/>
      <c r="F10" s="307"/>
      <c r="G10" s="307"/>
      <c r="H10" s="307"/>
      <c r="I10" s="307"/>
      <c r="J10" s="308"/>
      <c r="K10" s="81"/>
      <c r="L10" s="81"/>
      <c r="M10" s="81"/>
      <c r="N10" s="81"/>
      <c r="O10" s="81"/>
      <c r="Q10" s="94"/>
      <c r="R10" s="243"/>
      <c r="S10" s="243"/>
      <c r="T10" s="368"/>
      <c r="U10" s="368"/>
      <c r="V10" s="368"/>
      <c r="W10" s="342"/>
      <c r="X10" s="342"/>
    </row>
    <row r="11" spans="1:25" x14ac:dyDescent="0.25">
      <c r="A11" s="94"/>
      <c r="B11" s="64"/>
      <c r="C11" s="309" t="s">
        <v>211</v>
      </c>
      <c r="D11" s="310"/>
      <c r="E11" s="310"/>
      <c r="F11" s="310"/>
      <c r="G11" s="310"/>
      <c r="H11" s="310"/>
      <c r="I11" s="310"/>
      <c r="J11" s="311"/>
      <c r="K11" s="81"/>
      <c r="L11" s="81"/>
      <c r="M11" s="81"/>
      <c r="N11" s="81"/>
      <c r="O11" s="81"/>
      <c r="Q11" s="94"/>
      <c r="R11" s="243"/>
      <c r="S11" s="243"/>
      <c r="T11" s="368"/>
      <c r="U11" s="368"/>
      <c r="V11" s="368"/>
      <c r="W11" s="342"/>
      <c r="X11" s="342"/>
    </row>
    <row r="12" spans="1:25" ht="15" customHeight="1" x14ac:dyDescent="0.25">
      <c r="A12" s="94"/>
      <c r="B12" s="64"/>
      <c r="C12" s="65"/>
      <c r="D12" s="106"/>
      <c r="E12" s="106"/>
      <c r="F12" s="106"/>
      <c r="G12" s="106"/>
      <c r="H12" s="106"/>
      <c r="I12" s="106"/>
      <c r="J12" s="106"/>
      <c r="K12" s="78"/>
      <c r="L12" s="78"/>
      <c r="M12" s="78"/>
      <c r="N12" s="78"/>
      <c r="O12" s="78"/>
      <c r="P12" s="64"/>
      <c r="Q12" s="94"/>
      <c r="R12" s="243"/>
      <c r="S12" s="243"/>
      <c r="T12" s="368"/>
      <c r="U12" s="368"/>
      <c r="V12" s="368"/>
      <c r="W12" s="342"/>
      <c r="X12" s="342"/>
    </row>
    <row r="13" spans="1:25" ht="15" customHeight="1" x14ac:dyDescent="0.25">
      <c r="A13" s="94"/>
      <c r="B13" s="64"/>
      <c r="C13" s="376" t="s">
        <v>311</v>
      </c>
      <c r="D13" s="377"/>
      <c r="E13" s="377"/>
      <c r="F13" s="377"/>
      <c r="G13" s="377"/>
      <c r="H13" s="377"/>
      <c r="I13" s="377"/>
      <c r="J13" s="377"/>
      <c r="K13" s="318"/>
      <c r="L13" s="297"/>
      <c r="M13" s="297"/>
      <c r="N13" s="297"/>
      <c r="O13" s="297"/>
      <c r="P13" s="64"/>
      <c r="Q13" s="94"/>
      <c r="R13" s="243"/>
      <c r="S13" s="243"/>
      <c r="T13" s="368"/>
      <c r="U13" s="368"/>
      <c r="V13" s="368"/>
      <c r="W13" s="342"/>
      <c r="X13" s="342"/>
    </row>
    <row r="14" spans="1:25" ht="15" customHeight="1" x14ac:dyDescent="0.25">
      <c r="A14" s="94"/>
      <c r="B14" s="64"/>
      <c r="C14" s="378"/>
      <c r="D14" s="379"/>
      <c r="E14" s="379"/>
      <c r="F14" s="379"/>
      <c r="G14" s="379"/>
      <c r="H14" s="379"/>
      <c r="I14" s="379"/>
      <c r="J14" s="379"/>
      <c r="K14" s="319"/>
      <c r="L14" s="298"/>
      <c r="M14" s="298"/>
      <c r="N14" s="298"/>
      <c r="O14" s="298"/>
      <c r="P14" s="64"/>
      <c r="Q14" s="94"/>
      <c r="R14" s="243"/>
      <c r="S14" s="243"/>
      <c r="T14" s="368"/>
      <c r="U14" s="368"/>
      <c r="V14" s="368"/>
      <c r="W14" s="342"/>
      <c r="X14" s="342"/>
    </row>
    <row r="15" spans="1:25" x14ac:dyDescent="0.25">
      <c r="A15" s="489" t="s">
        <v>8</v>
      </c>
      <c r="B15" s="489" t="s">
        <v>345</v>
      </c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243"/>
      <c r="S15" s="243"/>
      <c r="T15" s="368"/>
      <c r="U15" s="368"/>
      <c r="V15" s="368"/>
      <c r="W15" s="342"/>
      <c r="X15" s="342"/>
    </row>
    <row r="16" spans="1:25" x14ac:dyDescent="0.25">
      <c r="A16" s="489"/>
      <c r="B16" s="66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490"/>
      <c r="R16" s="243"/>
      <c r="S16" s="243"/>
      <c r="T16" s="368"/>
      <c r="U16" s="368"/>
      <c r="V16" s="368"/>
      <c r="W16" s="342"/>
      <c r="X16" s="342"/>
      <c r="Y16" s="342"/>
    </row>
    <row r="17" spans="1:25" x14ac:dyDescent="0.25">
      <c r="A17" s="489"/>
      <c r="B17" s="66"/>
      <c r="C17" s="331" t="s">
        <v>246</v>
      </c>
      <c r="D17" s="69"/>
      <c r="E17" s="69"/>
      <c r="F17" s="69"/>
      <c r="G17" s="69"/>
      <c r="H17" s="69"/>
      <c r="I17" s="69"/>
      <c r="J17" s="69"/>
      <c r="K17" s="64"/>
      <c r="L17" s="64"/>
      <c r="M17" s="64"/>
      <c r="N17" s="64"/>
      <c r="O17" s="64"/>
      <c r="P17" s="64"/>
      <c r="Q17" s="490"/>
      <c r="R17" s="243"/>
      <c r="S17" s="243"/>
      <c r="T17" s="368"/>
      <c r="U17" s="368"/>
      <c r="V17" s="368"/>
      <c r="W17" s="342"/>
      <c r="X17" s="342"/>
      <c r="Y17" s="342"/>
    </row>
    <row r="18" spans="1:25" x14ac:dyDescent="0.25">
      <c r="A18" s="489"/>
      <c r="B18" s="67"/>
      <c r="C18" s="695" t="s">
        <v>151</v>
      </c>
      <c r="D18" s="696"/>
      <c r="E18" s="696"/>
      <c r="F18" s="696"/>
      <c r="G18" s="696"/>
      <c r="H18" s="696"/>
      <c r="I18" s="696"/>
      <c r="J18" s="697"/>
      <c r="K18" s="128" t="str">
        <f>IF(C18="Služební provozní smlouva (Vlastník vybírá vodné/stočné)","1",IF(C18="Koncesní smlouva (Provozovatel vybírá vodné/stočné)","2","0"))</f>
        <v>2</v>
      </c>
      <c r="L18" s="128"/>
      <c r="M18" s="128"/>
      <c r="N18" s="128"/>
      <c r="O18" s="128"/>
      <c r="P18" s="68"/>
      <c r="Q18" s="490"/>
      <c r="R18" s="243"/>
      <c r="S18" s="243"/>
      <c r="T18" s="368"/>
      <c r="U18" s="368"/>
      <c r="V18" s="368"/>
      <c r="W18" s="342"/>
      <c r="X18" s="342"/>
      <c r="Y18" s="342"/>
    </row>
    <row r="19" spans="1:25" x14ac:dyDescent="0.25">
      <c r="A19" s="489"/>
      <c r="B19" s="66"/>
      <c r="C19" s="70"/>
      <c r="D19" s="70"/>
      <c r="E19" s="70"/>
      <c r="F19" s="70"/>
      <c r="G19" s="70"/>
      <c r="H19" s="70"/>
      <c r="I19" s="70"/>
      <c r="J19" s="70"/>
      <c r="K19" s="129"/>
      <c r="L19" s="129"/>
      <c r="M19" s="129"/>
      <c r="N19" s="129"/>
      <c r="O19" s="129"/>
      <c r="P19" s="64"/>
      <c r="Q19" s="490"/>
      <c r="R19" s="243"/>
      <c r="S19" s="243"/>
      <c r="T19" s="368"/>
      <c r="U19" s="368"/>
      <c r="V19" s="368"/>
      <c r="W19" s="342"/>
      <c r="X19" s="342"/>
      <c r="Y19" s="342"/>
    </row>
    <row r="20" spans="1:25" x14ac:dyDescent="0.25">
      <c r="A20" s="489"/>
      <c r="B20" s="66"/>
      <c r="C20" s="331" t="s">
        <v>339</v>
      </c>
      <c r="D20" s="69"/>
      <c r="E20" s="69"/>
      <c r="F20" s="69"/>
      <c r="G20" s="69"/>
      <c r="H20" s="69"/>
      <c r="I20" s="69"/>
      <c r="J20" s="69"/>
      <c r="K20" s="129"/>
      <c r="L20" s="129"/>
      <c r="M20" s="129"/>
      <c r="N20" s="129"/>
      <c r="O20" s="129"/>
      <c r="P20" s="64"/>
      <c r="Q20" s="490"/>
      <c r="R20" s="243"/>
      <c r="S20" s="243"/>
      <c r="T20" s="368"/>
      <c r="U20" s="368"/>
      <c r="V20" s="368"/>
      <c r="W20" s="342"/>
      <c r="X20" s="342"/>
      <c r="Y20" s="342"/>
    </row>
    <row r="21" spans="1:25" x14ac:dyDescent="0.25">
      <c r="A21" s="489"/>
      <c r="B21" s="67"/>
      <c r="C21" s="695" t="s">
        <v>4</v>
      </c>
      <c r="D21" s="696"/>
      <c r="E21" s="696"/>
      <c r="F21" s="696"/>
      <c r="G21" s="696"/>
      <c r="H21" s="696"/>
      <c r="I21" s="696"/>
      <c r="J21" s="697"/>
      <c r="K21" s="128" t="str">
        <f>IF(C21="Voda pitná","1",IF(C21="Voda odpadní","2",IF(C21="Voda pitná a Voda odpadní","3","0")))</f>
        <v>2</v>
      </c>
      <c r="L21" s="128"/>
      <c r="M21" s="128"/>
      <c r="N21" s="128"/>
      <c r="O21" s="128"/>
      <c r="P21" s="68"/>
      <c r="Q21" s="490"/>
      <c r="R21" s="243"/>
      <c r="S21" s="243"/>
      <c r="T21" s="368"/>
      <c r="U21" s="368"/>
      <c r="V21" s="368"/>
      <c r="W21" s="342"/>
      <c r="X21" s="342"/>
      <c r="Y21" s="342"/>
    </row>
    <row r="22" spans="1:25" x14ac:dyDescent="0.25">
      <c r="A22" s="489"/>
      <c r="B22" s="66"/>
      <c r="C22" s="73"/>
      <c r="D22" s="73"/>
      <c r="E22" s="73"/>
      <c r="F22" s="73"/>
      <c r="G22" s="73"/>
      <c r="H22" s="73"/>
      <c r="I22" s="70"/>
      <c r="J22" s="70"/>
      <c r="K22" s="64"/>
      <c r="L22" s="64"/>
      <c r="M22" s="64"/>
      <c r="N22" s="64"/>
      <c r="O22" s="64"/>
      <c r="P22" s="64"/>
      <c r="Q22" s="490"/>
      <c r="R22" s="243"/>
      <c r="S22" s="243"/>
      <c r="T22" s="368"/>
      <c r="U22" s="368"/>
      <c r="V22" s="368"/>
      <c r="W22" s="342"/>
      <c r="X22" s="342"/>
      <c r="Y22" s="342"/>
    </row>
    <row r="23" spans="1:25" ht="24.75" customHeight="1" x14ac:dyDescent="0.25">
      <c r="A23" s="489"/>
      <c r="B23" s="67"/>
      <c r="C23" s="380" t="s">
        <v>335</v>
      </c>
      <c r="D23" s="314"/>
      <c r="E23" s="314"/>
      <c r="F23" s="317"/>
      <c r="G23" s="61"/>
      <c r="H23" s="698" t="s">
        <v>166</v>
      </c>
      <c r="I23" s="698"/>
      <c r="J23" s="56" t="s">
        <v>163</v>
      </c>
      <c r="K23" s="72"/>
      <c r="L23" s="64"/>
      <c r="M23" s="64"/>
      <c r="N23" s="64"/>
      <c r="O23" s="64"/>
      <c r="P23" s="64"/>
      <c r="Q23" s="490"/>
      <c r="R23" s="370"/>
      <c r="S23" s="243"/>
      <c r="T23" s="368"/>
      <c r="U23" s="368"/>
      <c r="V23" s="368"/>
      <c r="W23" s="342"/>
      <c r="X23" s="342"/>
      <c r="Y23" s="342"/>
    </row>
    <row r="24" spans="1:25" ht="15" customHeight="1" x14ac:dyDescent="0.25">
      <c r="A24" s="489"/>
      <c r="B24" s="71"/>
      <c r="C24" s="315" t="s">
        <v>164</v>
      </c>
      <c r="D24" s="316"/>
      <c r="E24" s="316"/>
      <c r="F24" s="317"/>
      <c r="G24" s="61"/>
      <c r="H24" s="699">
        <v>43831</v>
      </c>
      <c r="I24" s="699"/>
      <c r="J24" s="55">
        <f>IF(ISBLANK(H24),1,YEAR(H24))</f>
        <v>2020</v>
      </c>
      <c r="K24" s="484" t="s">
        <v>384</v>
      </c>
      <c r="L24" s="485"/>
      <c r="M24" s="485"/>
      <c r="N24" s="485"/>
      <c r="O24" s="485"/>
      <c r="P24" s="312"/>
      <c r="Q24" s="490"/>
      <c r="R24" s="342"/>
      <c r="S24" s="342"/>
      <c r="T24" s="342"/>
      <c r="U24" s="342"/>
      <c r="V24" s="368"/>
      <c r="W24" s="342"/>
      <c r="X24" s="342"/>
      <c r="Y24" s="342"/>
    </row>
    <row r="25" spans="1:25" x14ac:dyDescent="0.25">
      <c r="A25" s="489"/>
      <c r="B25" s="71"/>
      <c r="C25" s="315" t="s">
        <v>165</v>
      </c>
      <c r="D25" s="316"/>
      <c r="E25" s="316"/>
      <c r="F25" s="317"/>
      <c r="G25" s="61"/>
      <c r="H25" s="669">
        <v>45657</v>
      </c>
      <c r="I25" s="669"/>
      <c r="J25" s="55">
        <f>IF(ISBLANK(H25),7,YEAR(H25))</f>
        <v>2024</v>
      </c>
      <c r="K25" s="670" t="s">
        <v>383</v>
      </c>
      <c r="L25" s="670"/>
      <c r="M25" s="670"/>
      <c r="N25" s="670"/>
      <c r="O25" s="670"/>
      <c r="P25" s="313"/>
      <c r="Q25" s="490"/>
      <c r="R25" s="371"/>
      <c r="S25" s="371"/>
      <c r="T25" s="371"/>
      <c r="U25" s="371"/>
      <c r="V25" s="371"/>
      <c r="W25" s="371"/>
      <c r="X25" s="371"/>
      <c r="Y25" s="371"/>
    </row>
    <row r="26" spans="1:25" hidden="1" x14ac:dyDescent="0.25">
      <c r="A26" s="489"/>
      <c r="B26" s="71"/>
      <c r="C26" s="33"/>
      <c r="D26" s="33"/>
      <c r="E26" s="33"/>
      <c r="H26" s="558"/>
      <c r="I26" s="558"/>
      <c r="J26" s="28"/>
      <c r="K26" s="670"/>
      <c r="L26" s="670"/>
      <c r="M26" s="670"/>
      <c r="N26" s="670"/>
      <c r="O26" s="670"/>
      <c r="P26" s="313"/>
      <c r="Q26" s="490"/>
      <c r="R26" s="371"/>
      <c r="S26" s="371"/>
      <c r="T26" s="371"/>
      <c r="U26" s="371"/>
      <c r="V26" s="371"/>
      <c r="W26" s="371"/>
      <c r="X26" s="371"/>
      <c r="Y26" s="371"/>
    </row>
    <row r="27" spans="1:25" hidden="1" x14ac:dyDescent="0.25">
      <c r="A27" s="489"/>
      <c r="B27" s="71"/>
      <c r="C27" s="33"/>
      <c r="D27" s="33"/>
      <c r="E27" s="33"/>
      <c r="H27" s="558"/>
      <c r="I27" s="558"/>
      <c r="J27" s="28"/>
      <c r="K27" s="670"/>
      <c r="L27" s="670"/>
      <c r="M27" s="670"/>
      <c r="N27" s="670"/>
      <c r="O27" s="670"/>
      <c r="P27" s="313"/>
      <c r="Q27" s="490"/>
      <c r="R27" s="371"/>
      <c r="S27" s="371"/>
      <c r="T27" s="371"/>
      <c r="U27" s="371"/>
      <c r="V27" s="371"/>
      <c r="W27" s="371"/>
      <c r="X27" s="371"/>
      <c r="Y27" s="371"/>
    </row>
    <row r="28" spans="1:25" x14ac:dyDescent="0.25">
      <c r="A28" s="489"/>
      <c r="B28" s="64"/>
      <c r="C28" s="65"/>
      <c r="D28" s="64"/>
      <c r="E28" s="64"/>
      <c r="F28" s="64"/>
      <c r="G28" s="64"/>
      <c r="H28" s="64"/>
      <c r="I28" s="64"/>
      <c r="J28" s="64"/>
      <c r="K28" s="671"/>
      <c r="L28" s="671"/>
      <c r="M28" s="671"/>
      <c r="N28" s="671"/>
      <c r="O28" s="671"/>
      <c r="P28" s="64"/>
      <c r="Q28" s="489"/>
      <c r="R28" s="243"/>
      <c r="S28" s="243"/>
      <c r="T28" s="368"/>
      <c r="U28" s="368"/>
      <c r="V28" s="368"/>
      <c r="W28" s="342"/>
      <c r="X28" s="342"/>
      <c r="Y28" s="342"/>
    </row>
    <row r="29" spans="1:25" ht="15" customHeight="1" x14ac:dyDescent="0.25">
      <c r="A29" s="489"/>
      <c r="B29" s="64"/>
      <c r="C29" s="332" t="s">
        <v>257</v>
      </c>
      <c r="D29" s="69"/>
      <c r="E29" s="69"/>
      <c r="F29" s="69"/>
      <c r="G29" s="69"/>
      <c r="H29" s="69"/>
      <c r="I29" s="69"/>
      <c r="J29" s="69"/>
      <c r="K29" s="69"/>
      <c r="L29" s="33"/>
      <c r="M29" s="33"/>
      <c r="N29" s="33"/>
      <c r="O29" s="33"/>
      <c r="Q29" s="489"/>
      <c r="R29" s="342"/>
      <c r="S29" s="342"/>
      <c r="T29" s="342"/>
      <c r="U29" s="342"/>
      <c r="V29" s="342"/>
      <c r="W29" s="342"/>
      <c r="X29" s="342"/>
      <c r="Y29" s="342"/>
    </row>
    <row r="30" spans="1:25" x14ac:dyDescent="0.25">
      <c r="A30" s="489"/>
      <c r="B30" s="71"/>
      <c r="C30" s="35"/>
      <c r="D30" s="185" t="s">
        <v>154</v>
      </c>
      <c r="E30" s="55">
        <f>J24</f>
        <v>2020</v>
      </c>
      <c r="F30" s="55">
        <f t="shared" ref="F30:K30" si="0">E30+1</f>
        <v>2021</v>
      </c>
      <c r="G30" s="55">
        <f t="shared" si="0"/>
        <v>2022</v>
      </c>
      <c r="H30" s="55">
        <f t="shared" si="0"/>
        <v>2023</v>
      </c>
      <c r="I30" s="55">
        <f t="shared" si="0"/>
        <v>2024</v>
      </c>
      <c r="J30" s="55">
        <f t="shared" si="0"/>
        <v>2025</v>
      </c>
      <c r="K30" s="55">
        <f t="shared" si="0"/>
        <v>2026</v>
      </c>
      <c r="L30" s="55">
        <f t="shared" ref="L30" si="1">K30+1</f>
        <v>2027</v>
      </c>
      <c r="M30" s="55">
        <f t="shared" ref="M30" si="2">L30+1</f>
        <v>2028</v>
      </c>
      <c r="N30" s="55">
        <f t="shared" ref="N30" si="3">M30+1</f>
        <v>2029</v>
      </c>
      <c r="O30" s="55">
        <f t="shared" ref="O30" si="4">N30+1</f>
        <v>2030</v>
      </c>
      <c r="P30" s="68"/>
      <c r="Q30" s="489"/>
      <c r="R30" s="372"/>
      <c r="S30" s="372"/>
      <c r="T30" s="372"/>
      <c r="U30" s="372"/>
      <c r="V30" s="372"/>
      <c r="W30" s="372"/>
      <c r="X30" s="372"/>
      <c r="Y30" s="372"/>
    </row>
    <row r="31" spans="1:25" ht="15.75" customHeight="1" x14ac:dyDescent="0.25">
      <c r="A31" s="489"/>
      <c r="B31" s="71"/>
      <c r="C31" s="35" t="s">
        <v>132</v>
      </c>
      <c r="D31" s="185" t="s">
        <v>134</v>
      </c>
      <c r="E31" s="505">
        <v>0</v>
      </c>
      <c r="F31" s="505">
        <v>0</v>
      </c>
      <c r="G31" s="505">
        <v>0</v>
      </c>
      <c r="H31" s="505">
        <v>0</v>
      </c>
      <c r="I31" s="505">
        <v>0</v>
      </c>
      <c r="J31" s="505">
        <v>0</v>
      </c>
      <c r="K31" s="505">
        <v>0</v>
      </c>
      <c r="L31" s="505">
        <v>0</v>
      </c>
      <c r="M31" s="505">
        <v>0</v>
      </c>
      <c r="N31" s="505">
        <v>0</v>
      </c>
      <c r="O31" s="505">
        <v>0</v>
      </c>
      <c r="Q31" s="489"/>
      <c r="R31" s="372"/>
      <c r="S31" s="372"/>
      <c r="T31" s="372"/>
      <c r="U31" s="372"/>
      <c r="V31" s="372"/>
      <c r="W31" s="372"/>
      <c r="X31" s="372"/>
      <c r="Y31" s="372"/>
    </row>
    <row r="32" spans="1:25" ht="15" customHeight="1" x14ac:dyDescent="0.25">
      <c r="A32" s="489"/>
      <c r="B32" s="71"/>
      <c r="C32" s="35" t="s">
        <v>133</v>
      </c>
      <c r="D32" s="185" t="s">
        <v>134</v>
      </c>
      <c r="E32" s="642">
        <v>0.14000000000000001</v>
      </c>
      <c r="F32" s="642">
        <v>0.14000000000000001</v>
      </c>
      <c r="G32" s="642">
        <v>0.14000000000000001</v>
      </c>
      <c r="H32" s="642">
        <v>0.15</v>
      </c>
      <c r="I32" s="642">
        <v>0.15</v>
      </c>
      <c r="J32" s="505">
        <v>0</v>
      </c>
      <c r="K32" s="505">
        <v>0</v>
      </c>
      <c r="L32" s="505">
        <v>0</v>
      </c>
      <c r="M32" s="505">
        <v>0</v>
      </c>
      <c r="N32" s="505">
        <v>0</v>
      </c>
      <c r="O32" s="505">
        <v>0</v>
      </c>
      <c r="Q32" s="489"/>
      <c r="R32" s="372"/>
      <c r="S32" s="372"/>
      <c r="T32" s="372"/>
      <c r="U32" s="372"/>
      <c r="V32" s="372"/>
      <c r="W32" s="372"/>
      <c r="X32" s="372"/>
      <c r="Y32" s="372"/>
    </row>
    <row r="33" spans="1:25" x14ac:dyDescent="0.25">
      <c r="A33" s="489"/>
      <c r="B33" s="64"/>
      <c r="C33" s="70"/>
      <c r="D33" s="70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65"/>
      <c r="Q33" s="489"/>
      <c r="R33" s="342"/>
      <c r="S33" s="342"/>
      <c r="T33" s="342"/>
      <c r="U33" s="342"/>
      <c r="V33" s="342"/>
      <c r="W33" s="342"/>
      <c r="X33" s="342"/>
      <c r="Y33" s="342"/>
    </row>
    <row r="34" spans="1:25" x14ac:dyDescent="0.25">
      <c r="A34" s="489"/>
      <c r="B34" s="64"/>
      <c r="C34" s="331" t="s">
        <v>340</v>
      </c>
      <c r="D34" s="69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65"/>
      <c r="Q34" s="489"/>
      <c r="R34" s="342"/>
      <c r="S34" s="342"/>
      <c r="T34" s="342"/>
      <c r="U34" s="342"/>
      <c r="V34" s="342"/>
      <c r="W34" s="342"/>
      <c r="X34" s="342"/>
      <c r="Y34" s="342"/>
    </row>
    <row r="35" spans="1:25" x14ac:dyDescent="0.25">
      <c r="A35" s="489"/>
      <c r="B35" s="71"/>
      <c r="C35" s="35"/>
      <c r="D35" s="185" t="s">
        <v>154</v>
      </c>
      <c r="E35" s="55">
        <f>J24</f>
        <v>2020</v>
      </c>
      <c r="F35" s="55">
        <f t="shared" ref="F35" si="5">E35+1</f>
        <v>2021</v>
      </c>
      <c r="G35" s="55">
        <f t="shared" ref="G35" si="6">F35+1</f>
        <v>2022</v>
      </c>
      <c r="H35" s="55">
        <f t="shared" ref="H35" si="7">G35+1</f>
        <v>2023</v>
      </c>
      <c r="I35" s="55">
        <f t="shared" ref="I35" si="8">H35+1</f>
        <v>2024</v>
      </c>
      <c r="J35" s="55">
        <f t="shared" ref="J35" si="9">I35+1</f>
        <v>2025</v>
      </c>
      <c r="K35" s="55">
        <f t="shared" ref="K35" si="10">J35+1</f>
        <v>2026</v>
      </c>
      <c r="L35" s="55">
        <f t="shared" ref="L35" si="11">K35+1</f>
        <v>2027</v>
      </c>
      <c r="M35" s="55">
        <f t="shared" ref="M35" si="12">L35+1</f>
        <v>2028</v>
      </c>
      <c r="N35" s="55">
        <f t="shared" ref="N35" si="13">M35+1</f>
        <v>2029</v>
      </c>
      <c r="O35" s="55">
        <f t="shared" ref="O35" si="14">N35+1</f>
        <v>2030</v>
      </c>
      <c r="P35" s="68"/>
      <c r="Q35" s="489"/>
      <c r="R35" s="243"/>
      <c r="S35" s="243"/>
      <c r="T35" s="368"/>
      <c r="U35" s="368"/>
      <c r="V35" s="368"/>
      <c r="W35" s="342"/>
      <c r="X35" s="342"/>
      <c r="Y35" s="342"/>
    </row>
    <row r="36" spans="1:25" x14ac:dyDescent="0.25">
      <c r="A36" s="489"/>
      <c r="B36" s="71"/>
      <c r="C36" s="35" t="s">
        <v>135</v>
      </c>
      <c r="D36" s="185" t="s">
        <v>134</v>
      </c>
      <c r="E36" s="505">
        <v>0</v>
      </c>
      <c r="F36" s="505">
        <v>0</v>
      </c>
      <c r="G36" s="505">
        <v>0</v>
      </c>
      <c r="H36" s="505">
        <v>0</v>
      </c>
      <c r="I36" s="505">
        <v>0</v>
      </c>
      <c r="J36" s="505">
        <v>0</v>
      </c>
      <c r="K36" s="505">
        <v>0</v>
      </c>
      <c r="L36" s="505">
        <v>0</v>
      </c>
      <c r="M36" s="505">
        <v>0</v>
      </c>
      <c r="N36" s="505">
        <v>0</v>
      </c>
      <c r="O36" s="505">
        <v>0</v>
      </c>
      <c r="P36" s="68"/>
      <c r="Q36" s="489"/>
      <c r="R36" s="375"/>
      <c r="S36" s="375"/>
      <c r="T36" s="375"/>
      <c r="U36" s="375"/>
      <c r="V36" s="375"/>
      <c r="W36" s="375"/>
      <c r="X36" s="375"/>
      <c r="Y36" s="375"/>
    </row>
    <row r="37" spans="1:25" x14ac:dyDescent="0.25">
      <c r="A37" s="489"/>
      <c r="B37" s="71"/>
      <c r="C37" s="35" t="s">
        <v>136</v>
      </c>
      <c r="D37" s="185" t="s">
        <v>134</v>
      </c>
      <c r="E37" s="505">
        <v>0</v>
      </c>
      <c r="F37" s="505">
        <v>0</v>
      </c>
      <c r="G37" s="505">
        <v>0</v>
      </c>
      <c r="H37" s="505">
        <v>0</v>
      </c>
      <c r="I37" s="505">
        <v>0</v>
      </c>
      <c r="J37" s="505">
        <v>0</v>
      </c>
      <c r="K37" s="505">
        <v>0</v>
      </c>
      <c r="L37" s="505">
        <v>0</v>
      </c>
      <c r="M37" s="505">
        <v>0</v>
      </c>
      <c r="N37" s="505">
        <v>0</v>
      </c>
      <c r="O37" s="505">
        <v>0</v>
      </c>
      <c r="P37" s="68"/>
      <c r="Q37" s="489"/>
      <c r="R37" s="375"/>
      <c r="S37" s="375"/>
      <c r="T37" s="375"/>
      <c r="U37" s="375"/>
      <c r="V37" s="375"/>
      <c r="W37" s="375"/>
      <c r="X37" s="375"/>
      <c r="Y37" s="375"/>
    </row>
    <row r="38" spans="1:25" ht="21" customHeight="1" x14ac:dyDescent="0.25">
      <c r="A38" s="489"/>
      <c r="B38" s="71"/>
      <c r="C38" s="381" t="s">
        <v>293</v>
      </c>
      <c r="D38" s="320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68"/>
      <c r="Q38" s="489"/>
      <c r="R38" s="366"/>
      <c r="S38" s="366"/>
      <c r="T38" s="366"/>
      <c r="U38" s="366"/>
      <c r="V38" s="366"/>
      <c r="W38" s="366"/>
      <c r="X38" s="366"/>
      <c r="Y38" s="366"/>
    </row>
    <row r="39" spans="1:25" x14ac:dyDescent="0.25">
      <c r="A39" s="489"/>
      <c r="B39" s="71"/>
      <c r="C39" s="331" t="s">
        <v>292</v>
      </c>
      <c r="D39" s="69"/>
      <c r="E39" s="75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68"/>
      <c r="Q39" s="489"/>
      <c r="R39" s="366"/>
      <c r="S39" s="366"/>
      <c r="T39" s="366"/>
      <c r="U39" s="366"/>
      <c r="V39" s="366"/>
      <c r="W39" s="366"/>
      <c r="X39" s="366"/>
      <c r="Y39" s="366"/>
    </row>
    <row r="40" spans="1:25" x14ac:dyDescent="0.25">
      <c r="A40" s="489"/>
      <c r="B40" s="71"/>
      <c r="C40" s="35"/>
      <c r="D40" s="185" t="s">
        <v>154</v>
      </c>
      <c r="E40" s="55">
        <f>J24</f>
        <v>2020</v>
      </c>
      <c r="F40" s="55">
        <f t="shared" ref="F40" si="15">E40+1</f>
        <v>2021</v>
      </c>
      <c r="G40" s="55">
        <f t="shared" ref="G40" si="16">F40+1</f>
        <v>2022</v>
      </c>
      <c r="H40" s="55">
        <f t="shared" ref="H40" si="17">G40+1</f>
        <v>2023</v>
      </c>
      <c r="I40" s="55">
        <f t="shared" ref="I40" si="18">H40+1</f>
        <v>2024</v>
      </c>
      <c r="J40" s="55">
        <f t="shared" ref="J40" si="19">I40+1</f>
        <v>2025</v>
      </c>
      <c r="K40" s="55">
        <f t="shared" ref="K40" si="20">J40+1</f>
        <v>2026</v>
      </c>
      <c r="L40" s="55">
        <f t="shared" ref="L40" si="21">K40+1</f>
        <v>2027</v>
      </c>
      <c r="M40" s="55">
        <f t="shared" ref="M40" si="22">L40+1</f>
        <v>2028</v>
      </c>
      <c r="N40" s="55">
        <f t="shared" ref="N40" si="23">M40+1</f>
        <v>2029</v>
      </c>
      <c r="O40" s="55">
        <f t="shared" ref="O40" si="24">N40+1</f>
        <v>2030</v>
      </c>
      <c r="P40" s="68"/>
      <c r="Q40" s="489"/>
      <c r="R40" s="366"/>
      <c r="S40" s="366"/>
      <c r="T40" s="366"/>
      <c r="U40" s="366"/>
      <c r="V40" s="366"/>
      <c r="W40" s="366"/>
      <c r="X40" s="366"/>
      <c r="Y40" s="366"/>
    </row>
    <row r="41" spans="1:25" x14ac:dyDescent="0.25">
      <c r="A41" s="489"/>
      <c r="B41" s="71"/>
      <c r="C41" s="35" t="s">
        <v>259</v>
      </c>
      <c r="D41" s="185" t="s">
        <v>258</v>
      </c>
      <c r="E41" s="80">
        <f>Nabídka!F42</f>
        <v>0</v>
      </c>
      <c r="F41" s="505">
        <v>0</v>
      </c>
      <c r="G41" s="505">
        <v>0</v>
      </c>
      <c r="H41" s="505">
        <v>0</v>
      </c>
      <c r="I41" s="505">
        <v>0</v>
      </c>
      <c r="J41" s="505">
        <v>0</v>
      </c>
      <c r="K41" s="505">
        <v>0</v>
      </c>
      <c r="L41" s="505">
        <v>0</v>
      </c>
      <c r="M41" s="505">
        <v>0</v>
      </c>
      <c r="N41" s="505">
        <v>0</v>
      </c>
      <c r="O41" s="505">
        <v>0</v>
      </c>
      <c r="P41" s="68"/>
      <c r="Q41" s="489"/>
      <c r="R41" s="375"/>
      <c r="S41" s="375"/>
      <c r="T41" s="375"/>
      <c r="U41" s="375"/>
      <c r="V41" s="375"/>
      <c r="W41" s="375"/>
      <c r="X41" s="375"/>
      <c r="Y41" s="375"/>
    </row>
    <row r="42" spans="1:25" x14ac:dyDescent="0.25">
      <c r="A42" s="489"/>
      <c r="B42" s="71"/>
      <c r="C42" s="35" t="s">
        <v>260</v>
      </c>
      <c r="D42" s="185" t="s">
        <v>258</v>
      </c>
      <c r="E42" s="80">
        <f>Nabídka!H44</f>
        <v>1.4E-2</v>
      </c>
      <c r="F42" s="642">
        <v>7.4190000000000002E-3</v>
      </c>
      <c r="G42" s="642">
        <v>7.4190000000000002E-3</v>
      </c>
      <c r="H42" s="642">
        <v>7.4190000000000002E-3</v>
      </c>
      <c r="I42" s="642">
        <v>7.4190000000000002E-3</v>
      </c>
      <c r="J42" s="505">
        <v>0</v>
      </c>
      <c r="K42" s="505">
        <v>0</v>
      </c>
      <c r="L42" s="505">
        <v>0</v>
      </c>
      <c r="M42" s="505">
        <v>0</v>
      </c>
      <c r="N42" s="505">
        <v>0</v>
      </c>
      <c r="O42" s="505">
        <v>0</v>
      </c>
      <c r="P42" s="68"/>
      <c r="Q42" s="489"/>
      <c r="R42" s="375"/>
      <c r="S42" s="375"/>
      <c r="T42" s="375"/>
      <c r="U42" s="375"/>
      <c r="V42" s="375"/>
      <c r="W42" s="375"/>
      <c r="X42" s="375"/>
      <c r="Y42" s="375"/>
    </row>
    <row r="43" spans="1:25" ht="21" customHeight="1" x14ac:dyDescent="0.25">
      <c r="A43" s="489"/>
      <c r="B43" s="64"/>
      <c r="C43" s="381" t="s">
        <v>341</v>
      </c>
      <c r="D43" s="85"/>
      <c r="E43" s="85"/>
      <c r="F43" s="85"/>
      <c r="G43" s="85"/>
      <c r="H43" s="85"/>
      <c r="I43" s="73"/>
      <c r="J43" s="73"/>
      <c r="K43" s="73"/>
      <c r="L43" s="73"/>
      <c r="M43" s="73"/>
      <c r="N43" s="73"/>
      <c r="O43" s="73"/>
      <c r="P43" s="64"/>
      <c r="Q43" s="489"/>
      <c r="R43" s="342"/>
      <c r="S43" s="342"/>
      <c r="T43" s="342"/>
      <c r="U43" s="342"/>
      <c r="V43" s="342"/>
      <c r="W43" s="342"/>
      <c r="X43" s="342"/>
      <c r="Y43" s="342"/>
    </row>
    <row r="44" spans="1:25" x14ac:dyDescent="0.25">
      <c r="A44" s="489"/>
      <c r="B44" s="33"/>
      <c r="C44" s="701" t="s">
        <v>423</v>
      </c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506" t="s">
        <v>181</v>
      </c>
      <c r="P44" s="33"/>
      <c r="Q44" s="489"/>
      <c r="R44" s="371"/>
      <c r="S44" s="342"/>
      <c r="T44" s="342"/>
      <c r="U44" s="342"/>
      <c r="V44" s="342"/>
      <c r="W44" s="342"/>
      <c r="X44" s="342"/>
      <c r="Y44" s="342"/>
    </row>
    <row r="45" spans="1:25" ht="15" customHeight="1" x14ac:dyDescent="0.25">
      <c r="A45" s="489"/>
      <c r="B45" s="33"/>
      <c r="C45" s="701" t="s">
        <v>273</v>
      </c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506" t="s">
        <v>181</v>
      </c>
      <c r="P45" s="86"/>
      <c r="Q45" s="489"/>
      <c r="R45" s="371"/>
      <c r="S45" s="342"/>
      <c r="T45" s="342"/>
      <c r="U45" s="342"/>
      <c r="V45" s="342"/>
      <c r="W45" s="342"/>
      <c r="X45" s="342"/>
      <c r="Y45" s="342"/>
    </row>
    <row r="46" spans="1:25" x14ac:dyDescent="0.25">
      <c r="A46" s="489"/>
      <c r="B46" s="33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33"/>
      <c r="Q46" s="489"/>
      <c r="R46" s="342"/>
      <c r="S46" s="342"/>
      <c r="T46" s="342"/>
      <c r="U46" s="342"/>
      <c r="V46" s="342"/>
      <c r="W46" s="342"/>
      <c r="X46" s="342"/>
      <c r="Y46" s="342"/>
    </row>
    <row r="47" spans="1:25" x14ac:dyDescent="0.25">
      <c r="A47" s="97" t="s">
        <v>19</v>
      </c>
      <c r="B47" s="97" t="s">
        <v>344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243"/>
      <c r="S47" s="243"/>
      <c r="T47" s="368"/>
      <c r="U47" s="368"/>
      <c r="V47" s="368"/>
      <c r="W47" s="342"/>
      <c r="X47" s="342"/>
      <c r="Y47" s="342"/>
    </row>
    <row r="48" spans="1:25" ht="30.75" customHeight="1" x14ac:dyDescent="0.25">
      <c r="A48" s="97"/>
      <c r="B48" s="64"/>
      <c r="C48" s="703" t="s">
        <v>386</v>
      </c>
      <c r="D48" s="704"/>
      <c r="E48" s="704"/>
      <c r="F48" s="704"/>
      <c r="G48" s="704"/>
      <c r="H48" s="704"/>
      <c r="I48" s="704"/>
      <c r="J48" s="704"/>
      <c r="K48" s="704"/>
      <c r="L48" s="704"/>
      <c r="M48" s="704"/>
      <c r="N48" s="704"/>
      <c r="O48" s="705"/>
      <c r="P48" s="64"/>
      <c r="Q48" s="96"/>
      <c r="R48" s="243"/>
      <c r="S48" s="243"/>
      <c r="T48" s="368"/>
      <c r="U48" s="368"/>
      <c r="V48" s="368"/>
      <c r="W48" s="342"/>
      <c r="X48" s="342"/>
      <c r="Y48" s="342"/>
    </row>
    <row r="49" spans="1:25" x14ac:dyDescent="0.25">
      <c r="A49" s="97"/>
      <c r="B49" s="64"/>
      <c r="C49" s="64" t="s">
        <v>332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96"/>
      <c r="R49" s="243"/>
      <c r="S49" s="243"/>
      <c r="T49" s="368"/>
      <c r="U49" s="368"/>
      <c r="V49" s="368"/>
      <c r="W49" s="342"/>
      <c r="X49" s="342"/>
      <c r="Y49" s="342"/>
    </row>
    <row r="50" spans="1:25" x14ac:dyDescent="0.25">
      <c r="A50" s="97"/>
      <c r="B50" s="33"/>
      <c r="C50" s="33" t="s">
        <v>232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96"/>
      <c r="R50" s="243"/>
      <c r="S50" s="243"/>
      <c r="T50" s="368"/>
      <c r="U50" s="368"/>
      <c r="V50" s="368"/>
      <c r="W50" s="342"/>
      <c r="X50" s="342"/>
      <c r="Y50" s="342"/>
    </row>
    <row r="51" spans="1:25" x14ac:dyDescent="0.25">
      <c r="A51" s="491" t="s">
        <v>25</v>
      </c>
      <c r="B51" s="491" t="s">
        <v>346</v>
      </c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243"/>
      <c r="S51" s="243"/>
      <c r="T51" s="368"/>
      <c r="U51" s="368"/>
      <c r="V51" s="368"/>
      <c r="W51" s="342"/>
      <c r="X51" s="342"/>
      <c r="Y51" s="342"/>
    </row>
    <row r="52" spans="1:25" ht="6.75" customHeight="1" x14ac:dyDescent="0.25">
      <c r="A52" s="491"/>
      <c r="B52" s="89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492"/>
      <c r="R52" s="243"/>
      <c r="S52" s="243"/>
      <c r="T52" s="368"/>
      <c r="U52" s="368"/>
      <c r="V52" s="368"/>
      <c r="W52" s="342"/>
      <c r="X52" s="342"/>
      <c r="Y52" s="342"/>
    </row>
    <row r="53" spans="1:25" x14ac:dyDescent="0.25">
      <c r="A53" s="491"/>
      <c r="B53" s="64"/>
      <c r="C53" s="33" t="s">
        <v>318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64"/>
      <c r="Q53" s="492"/>
      <c r="R53" s="243"/>
      <c r="S53" s="243"/>
      <c r="T53" s="368"/>
      <c r="U53" s="368"/>
      <c r="V53" s="368"/>
      <c r="W53" s="342"/>
      <c r="X53" s="342"/>
      <c r="Y53" s="342"/>
    </row>
    <row r="54" spans="1:25" x14ac:dyDescent="0.25">
      <c r="A54" s="491"/>
      <c r="B54" s="64"/>
      <c r="C54" s="64" t="s">
        <v>294</v>
      </c>
      <c r="D54" s="64"/>
      <c r="E54" s="64"/>
      <c r="F54" s="64"/>
      <c r="G54" s="64"/>
      <c r="H54" s="64"/>
      <c r="I54" s="64"/>
      <c r="J54" s="64"/>
      <c r="K54" s="64"/>
      <c r="L54" s="71"/>
      <c r="M54" s="33"/>
      <c r="N54" s="33"/>
      <c r="O54" s="33"/>
      <c r="P54" s="72"/>
      <c r="Q54" s="492"/>
      <c r="R54" s="243"/>
      <c r="S54" s="243"/>
      <c r="T54" s="368"/>
      <c r="U54" s="368"/>
      <c r="V54" s="368"/>
      <c r="W54" s="342"/>
      <c r="X54" s="342"/>
      <c r="Y54" s="342"/>
    </row>
    <row r="55" spans="1:25" x14ac:dyDescent="0.25">
      <c r="A55" s="491"/>
      <c r="B55" s="64"/>
      <c r="I55" s="64"/>
      <c r="J55" s="64"/>
      <c r="K55" s="64"/>
      <c r="L55" s="71"/>
      <c r="M55" s="33"/>
      <c r="N55" s="33"/>
      <c r="O55" s="33"/>
      <c r="P55" s="72"/>
      <c r="Q55" s="492"/>
      <c r="R55" s="243"/>
      <c r="S55" s="243"/>
      <c r="T55" s="368"/>
      <c r="U55" s="368"/>
      <c r="V55" s="368"/>
      <c r="W55" s="342"/>
      <c r="X55" s="342"/>
      <c r="Y55" s="342"/>
    </row>
    <row r="56" spans="1:25" x14ac:dyDescent="0.25">
      <c r="A56" s="491"/>
      <c r="B56" s="64"/>
      <c r="C56" s="331" t="s">
        <v>342</v>
      </c>
      <c r="D56" s="69"/>
      <c r="E56" s="69"/>
      <c r="F56" s="69"/>
      <c r="G56" s="69"/>
      <c r="H56" s="69"/>
      <c r="I56" s="69"/>
      <c r="J56" s="69"/>
      <c r="K56" s="69"/>
      <c r="L56" s="345"/>
      <c r="M56" s="33"/>
      <c r="N56" s="33"/>
      <c r="O56" s="33"/>
      <c r="P56" s="72"/>
      <c r="Q56" s="492"/>
      <c r="R56" s="243"/>
      <c r="S56" s="243"/>
      <c r="T56" s="368"/>
      <c r="U56" s="368"/>
      <c r="V56" s="368"/>
      <c r="W56" s="342"/>
      <c r="X56" s="342"/>
      <c r="Y56" s="342"/>
    </row>
    <row r="57" spans="1:25" x14ac:dyDescent="0.25">
      <c r="A57" s="491"/>
      <c r="B57" s="71"/>
      <c r="C57" s="706"/>
      <c r="D57" s="706"/>
      <c r="E57" s="706"/>
      <c r="F57" s="706"/>
      <c r="G57" s="706"/>
      <c r="H57" s="79" t="s">
        <v>154</v>
      </c>
      <c r="I57" s="79" t="s">
        <v>130</v>
      </c>
      <c r="J57" s="79" t="s">
        <v>131</v>
      </c>
      <c r="K57" s="674" t="s">
        <v>177</v>
      </c>
      <c r="L57" s="674"/>
      <c r="M57" s="685" t="s">
        <v>279</v>
      </c>
      <c r="N57" s="686"/>
      <c r="O57" s="687"/>
      <c r="P57" s="72"/>
      <c r="Q57" s="492"/>
      <c r="R57" s="342"/>
      <c r="S57" s="342"/>
      <c r="T57" s="342"/>
      <c r="U57" s="342"/>
      <c r="V57" s="342"/>
      <c r="W57" s="342"/>
      <c r="X57" s="342"/>
      <c r="Y57" s="342"/>
    </row>
    <row r="58" spans="1:25" x14ac:dyDescent="0.25">
      <c r="A58" s="491"/>
      <c r="B58" s="71"/>
      <c r="C58" s="702" t="s">
        <v>387</v>
      </c>
      <c r="D58" s="702"/>
      <c r="E58" s="702"/>
      <c r="F58" s="702"/>
      <c r="G58" s="702"/>
      <c r="H58" s="478" t="s">
        <v>83</v>
      </c>
      <c r="I58" s="479">
        <f>IF(AND(K18="2",OR(K21="1",K21="3")),Nabídka!G62,0)</f>
        <v>0</v>
      </c>
      <c r="J58" s="479">
        <f ca="1">IF(AND(K18="2",OR(K21="2",K21="3")),Nabídka!H62,0)</f>
        <v>31.268475300564855</v>
      </c>
      <c r="K58" s="675">
        <f>IF(K21="3",I58+J58,0)</f>
        <v>0</v>
      </c>
      <c r="L58" s="676"/>
      <c r="M58" s="688">
        <v>0.9</v>
      </c>
      <c r="N58" s="688"/>
      <c r="O58" s="688"/>
      <c r="P58" s="72"/>
      <c r="Q58" s="492"/>
      <c r="R58" s="342"/>
      <c r="S58" s="342"/>
      <c r="T58" s="342"/>
      <c r="U58" s="342"/>
      <c r="V58" s="342"/>
      <c r="W58" s="342"/>
      <c r="X58" s="342"/>
      <c r="Y58" s="342"/>
    </row>
    <row r="59" spans="1:25" x14ac:dyDescent="0.25">
      <c r="A59" s="491"/>
      <c r="B59" s="71"/>
      <c r="C59" s="707" t="s">
        <v>388</v>
      </c>
      <c r="D59" s="708"/>
      <c r="E59" s="708"/>
      <c r="F59" s="708"/>
      <c r="G59" s="709"/>
      <c r="H59" s="478" t="s">
        <v>289</v>
      </c>
      <c r="I59" s="479">
        <f>IF(AND(K18="2",OR(K21="1",K21="3")),Nabídka!J62,0)</f>
        <v>0</v>
      </c>
      <c r="J59" s="479">
        <f>IF(AND(K18="2",OR(K21="2",K21="3")),Nabídka!K62,0)</f>
        <v>0</v>
      </c>
      <c r="K59" s="675">
        <f>IF(K21="3",I59+J59,0)</f>
        <v>0</v>
      </c>
      <c r="L59" s="676"/>
      <c r="M59" s="688">
        <v>0.1</v>
      </c>
      <c r="N59" s="688"/>
      <c r="O59" s="688"/>
      <c r="P59" s="72"/>
      <c r="Q59" s="492"/>
      <c r="R59" s="342"/>
      <c r="S59" s="342"/>
      <c r="T59" s="342"/>
      <c r="U59" s="342"/>
      <c r="V59" s="342"/>
      <c r="W59" s="342"/>
      <c r="X59" s="342"/>
      <c r="Y59" s="342"/>
    </row>
    <row r="60" spans="1:25" x14ac:dyDescent="0.25">
      <c r="A60" s="491"/>
      <c r="B60" s="71"/>
      <c r="C60" s="299"/>
      <c r="D60" s="127"/>
      <c r="E60" s="127"/>
      <c r="F60" s="127"/>
      <c r="G60" s="82"/>
      <c r="H60" s="131"/>
      <c r="I60" s="131"/>
      <c r="J60" s="132"/>
      <c r="K60" s="132"/>
      <c r="L60" s="71"/>
      <c r="M60" s="712" t="s">
        <v>312</v>
      </c>
      <c r="N60" s="712"/>
      <c r="O60" s="712"/>
      <c r="P60" s="72"/>
      <c r="Q60" s="492"/>
      <c r="R60" s="243"/>
      <c r="S60" s="243"/>
      <c r="T60" s="368"/>
      <c r="U60" s="368"/>
      <c r="V60" s="368"/>
      <c r="W60" s="342"/>
      <c r="X60" s="342"/>
      <c r="Y60" s="342"/>
    </row>
    <row r="61" spans="1:25" x14ac:dyDescent="0.25">
      <c r="A61" s="491"/>
      <c r="B61" s="71"/>
      <c r="C61" s="673"/>
      <c r="D61" s="673"/>
      <c r="E61" s="673"/>
      <c r="F61" s="673"/>
      <c r="G61" s="82"/>
      <c r="H61" s="133"/>
      <c r="I61" s="134"/>
      <c r="J61" s="81"/>
      <c r="K61" s="70"/>
      <c r="L61" s="64"/>
      <c r="M61" s="710">
        <f>IF(K18="2",M59,IF(K18="1",M65,0))</f>
        <v>0.1</v>
      </c>
      <c r="N61" s="711"/>
      <c r="O61" s="711"/>
      <c r="P61" s="72"/>
      <c r="Q61" s="492"/>
      <c r="R61" s="243"/>
      <c r="S61" s="243"/>
      <c r="T61" s="368"/>
      <c r="U61" s="368"/>
      <c r="V61" s="368"/>
      <c r="W61" s="342"/>
      <c r="X61" s="342"/>
      <c r="Y61" s="342"/>
    </row>
    <row r="62" spans="1:25" x14ac:dyDescent="0.25">
      <c r="A62" s="491"/>
      <c r="B62" s="64"/>
      <c r="C62" s="331" t="s">
        <v>343</v>
      </c>
      <c r="D62" s="69"/>
      <c r="E62" s="69"/>
      <c r="F62" s="77"/>
      <c r="G62" s="77"/>
      <c r="H62" s="77"/>
      <c r="I62" s="69"/>
      <c r="J62" s="64"/>
      <c r="K62" s="64"/>
      <c r="L62" s="64"/>
      <c r="M62" s="64"/>
      <c r="N62" s="64"/>
      <c r="O62" s="33"/>
      <c r="P62" s="72"/>
      <c r="Q62" s="492"/>
      <c r="R62" s="243"/>
      <c r="S62" s="243"/>
      <c r="T62" s="368"/>
      <c r="U62" s="368"/>
      <c r="V62" s="368"/>
      <c r="W62" s="342"/>
      <c r="X62" s="342"/>
      <c r="Y62" s="342"/>
    </row>
    <row r="63" spans="1:25" x14ac:dyDescent="0.25">
      <c r="A63" s="491"/>
      <c r="B63" s="71"/>
      <c r="C63" s="713"/>
      <c r="D63" s="713"/>
      <c r="E63" s="713"/>
      <c r="F63" s="713"/>
      <c r="G63" s="713"/>
      <c r="H63" s="79" t="s">
        <v>154</v>
      </c>
      <c r="I63" s="79" t="s">
        <v>135</v>
      </c>
      <c r="J63" s="79" t="s">
        <v>136</v>
      </c>
      <c r="K63" s="674" t="s">
        <v>179</v>
      </c>
      <c r="L63" s="674"/>
      <c r="M63" s="681" t="s">
        <v>279</v>
      </c>
      <c r="N63" s="682"/>
      <c r="O63" s="683"/>
      <c r="P63" s="72"/>
      <c r="Q63" s="492"/>
      <c r="R63" s="373"/>
      <c r="S63" s="342"/>
      <c r="T63" s="342"/>
      <c r="U63" s="342"/>
      <c r="V63" s="342"/>
      <c r="W63" s="342"/>
      <c r="X63" s="342"/>
      <c r="Y63" s="342"/>
    </row>
    <row r="64" spans="1:25" x14ac:dyDescent="0.25">
      <c r="A64" s="491"/>
      <c r="B64" s="71"/>
      <c r="C64" s="702" t="s">
        <v>280</v>
      </c>
      <c r="D64" s="702"/>
      <c r="E64" s="702"/>
      <c r="F64" s="702"/>
      <c r="G64" s="702"/>
      <c r="H64" s="480" t="s">
        <v>178</v>
      </c>
      <c r="I64" s="481">
        <f>IF(AND(K18="1",OR(K21="1",K21="3")),Nabídka!F41,0)</f>
        <v>0</v>
      </c>
      <c r="J64" s="481">
        <f>IF(AND(K18="1",OR(K21="2",K21="3")),Nabídka!H41,0)</f>
        <v>0</v>
      </c>
      <c r="K64" s="677">
        <f>IF(K21="3",I64+J64,0)</f>
        <v>0</v>
      </c>
      <c r="L64" s="678"/>
      <c r="M64" s="684">
        <v>1</v>
      </c>
      <c r="N64" s="684"/>
      <c r="O64" s="684"/>
      <c r="P64" s="72"/>
      <c r="Q64" s="492"/>
      <c r="R64" s="243"/>
      <c r="S64" s="342"/>
      <c r="T64" s="342"/>
      <c r="U64" s="342"/>
      <c r="V64" s="342"/>
      <c r="W64" s="342"/>
      <c r="X64" s="342"/>
      <c r="Y64" s="342"/>
    </row>
    <row r="65" spans="1:25" x14ac:dyDescent="0.25">
      <c r="A65" s="491"/>
      <c r="B65" s="71"/>
      <c r="C65" s="702" t="s">
        <v>281</v>
      </c>
      <c r="D65" s="702"/>
      <c r="E65" s="702"/>
      <c r="F65" s="702"/>
      <c r="G65" s="702"/>
      <c r="H65" s="480" t="s">
        <v>289</v>
      </c>
      <c r="I65" s="482">
        <f>IF(AND(K18="1",OR(K21="1",K21="3")),Nabídka!J62,0)</f>
        <v>0</v>
      </c>
      <c r="J65" s="483">
        <f>IF(AND(K18="1",OR(K21="2",K21="3")),Nabídka!K62,0)</f>
        <v>0</v>
      </c>
      <c r="K65" s="679">
        <f>IF(K21="3",I65+J65,0)</f>
        <v>0</v>
      </c>
      <c r="L65" s="680"/>
      <c r="M65" s="684">
        <v>0</v>
      </c>
      <c r="N65" s="684"/>
      <c r="O65" s="684"/>
      <c r="P65" s="72"/>
      <c r="Q65" s="492"/>
      <c r="R65" s="243"/>
      <c r="S65" s="342"/>
      <c r="T65" s="342"/>
      <c r="U65" s="342"/>
      <c r="V65" s="342"/>
      <c r="W65" s="342"/>
      <c r="X65" s="342"/>
      <c r="Y65" s="342"/>
    </row>
    <row r="66" spans="1:25" x14ac:dyDescent="0.25">
      <c r="A66" s="491"/>
      <c r="B66" s="71"/>
      <c r="C66" s="299"/>
      <c r="D66" s="299"/>
      <c r="E66" s="299"/>
      <c r="F66" s="299"/>
      <c r="G66" s="300"/>
      <c r="H66" s="301"/>
      <c r="I66" s="301"/>
      <c r="J66" s="302"/>
      <c r="K66" s="302"/>
      <c r="L66" s="302"/>
      <c r="M66" s="712" t="s">
        <v>312</v>
      </c>
      <c r="N66" s="712"/>
      <c r="O66" s="712"/>
      <c r="P66" s="72"/>
      <c r="Q66" s="492"/>
      <c r="R66" s="243"/>
      <c r="S66" s="243"/>
      <c r="T66" s="368"/>
      <c r="U66" s="368"/>
      <c r="V66" s="368"/>
      <c r="W66" s="342"/>
      <c r="X66" s="342"/>
      <c r="Y66" s="342"/>
    </row>
    <row r="67" spans="1:25" x14ac:dyDescent="0.25">
      <c r="A67" s="491"/>
      <c r="B67" s="71"/>
      <c r="C67" s="82"/>
      <c r="D67" s="28"/>
      <c r="E67" s="28"/>
      <c r="F67" s="28"/>
      <c r="G67" s="82"/>
      <c r="H67" s="135"/>
      <c r="I67" s="28"/>
      <c r="J67" s="72"/>
      <c r="K67" s="64"/>
      <c r="L67" s="64"/>
      <c r="M67" s="70"/>
      <c r="N67" s="70"/>
      <c r="O67" s="70"/>
      <c r="P67" s="64"/>
      <c r="Q67" s="492"/>
      <c r="R67" s="243"/>
      <c r="S67" s="243"/>
      <c r="T67" s="368"/>
      <c r="U67" s="368"/>
      <c r="V67" s="368"/>
      <c r="W67" s="342"/>
      <c r="X67" s="342"/>
      <c r="Y67" s="342"/>
    </row>
    <row r="68" spans="1:25" x14ac:dyDescent="0.25">
      <c r="A68" s="493" t="s">
        <v>31</v>
      </c>
      <c r="B68" s="493" t="s">
        <v>347</v>
      </c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243"/>
      <c r="S68" s="243"/>
      <c r="T68" s="368"/>
      <c r="U68" s="368"/>
      <c r="V68" s="368"/>
      <c r="W68" s="342"/>
      <c r="X68" s="342"/>
      <c r="Y68" s="342"/>
    </row>
    <row r="69" spans="1:25" ht="30" customHeight="1" x14ac:dyDescent="0.25">
      <c r="A69" s="493"/>
      <c r="B69" s="33"/>
      <c r="C69" s="700" t="s">
        <v>348</v>
      </c>
      <c r="D69" s="700"/>
      <c r="E69" s="700"/>
      <c r="F69" s="700"/>
      <c r="G69" s="700"/>
      <c r="H69" s="700"/>
      <c r="I69" s="700"/>
      <c r="J69" s="700"/>
      <c r="K69" s="700"/>
      <c r="L69" s="700"/>
      <c r="M69" s="700"/>
      <c r="N69" s="700"/>
      <c r="O69" s="700"/>
      <c r="P69" s="33"/>
      <c r="Q69" s="494"/>
      <c r="R69" s="375"/>
      <c r="S69" s="375"/>
      <c r="T69" s="375"/>
      <c r="U69" s="375"/>
      <c r="V69" s="375"/>
      <c r="W69" s="375"/>
      <c r="X69" s="375"/>
      <c r="Y69" s="375"/>
    </row>
    <row r="70" spans="1:25" x14ac:dyDescent="0.25">
      <c r="A70" s="493"/>
      <c r="B70" s="33"/>
      <c r="C70" s="33"/>
      <c r="D70" s="33"/>
      <c r="E70" s="33"/>
      <c r="F70" s="33"/>
      <c r="G70" s="36"/>
      <c r="H70" s="36"/>
      <c r="I70" s="33"/>
      <c r="J70" s="33"/>
      <c r="K70" s="33"/>
      <c r="L70" s="33"/>
      <c r="M70" s="33"/>
      <c r="N70" s="33"/>
      <c r="O70" s="33"/>
      <c r="P70" s="33"/>
      <c r="Q70" s="494"/>
      <c r="R70" s="243"/>
      <c r="S70" s="243"/>
      <c r="T70" s="368"/>
      <c r="U70" s="368"/>
      <c r="V70" s="368"/>
      <c r="W70" s="342"/>
      <c r="X70" s="342"/>
      <c r="Y70" s="342"/>
    </row>
    <row r="71" spans="1:25" x14ac:dyDescent="0.25">
      <c r="A71" s="495" t="s">
        <v>41</v>
      </c>
      <c r="B71" s="495" t="s">
        <v>328</v>
      </c>
      <c r="C71" s="496"/>
      <c r="D71" s="496"/>
      <c r="E71" s="496"/>
      <c r="F71" s="496"/>
      <c r="G71" s="496"/>
      <c r="H71" s="496"/>
      <c r="I71" s="496"/>
      <c r="J71" s="496"/>
      <c r="K71" s="496"/>
      <c r="L71" s="496"/>
      <c r="M71" s="496"/>
      <c r="N71" s="496"/>
      <c r="O71" s="496"/>
      <c r="P71" s="496"/>
      <c r="Q71" s="496"/>
      <c r="R71" s="243"/>
      <c r="S71" s="243"/>
      <c r="T71" s="368"/>
      <c r="U71" s="368"/>
      <c r="V71" s="368"/>
      <c r="W71" s="342"/>
      <c r="X71" s="342"/>
      <c r="Y71" s="342"/>
    </row>
    <row r="72" spans="1:25" ht="46.5" customHeight="1" x14ac:dyDescent="0.25">
      <c r="A72" s="495"/>
      <c r="B72" s="33"/>
      <c r="C72" s="672" t="s">
        <v>389</v>
      </c>
      <c r="D72" s="672"/>
      <c r="E72" s="672"/>
      <c r="F72" s="672"/>
      <c r="G72" s="672"/>
      <c r="H72" s="672"/>
      <c r="I72" s="672"/>
      <c r="J72" s="672"/>
      <c r="K72" s="672"/>
      <c r="L72" s="672"/>
      <c r="M72" s="672"/>
      <c r="N72" s="672"/>
      <c r="O72" s="672"/>
      <c r="P72" s="33"/>
      <c r="Q72" s="496"/>
      <c r="R72" s="243"/>
      <c r="S72" s="243"/>
      <c r="T72" s="368"/>
      <c r="U72" s="368"/>
      <c r="V72" s="368"/>
      <c r="W72" s="342"/>
      <c r="X72" s="342"/>
      <c r="Y72" s="342"/>
    </row>
    <row r="73" spans="1:25" ht="21.75" customHeight="1" x14ac:dyDescent="0.25">
      <c r="A73" s="495"/>
      <c r="B73" s="33"/>
      <c r="C73" s="672" t="s">
        <v>329</v>
      </c>
      <c r="D73" s="672"/>
      <c r="E73" s="672"/>
      <c r="F73" s="672"/>
      <c r="G73" s="672"/>
      <c r="H73" s="672"/>
      <c r="I73" s="672"/>
      <c r="J73" s="672"/>
      <c r="K73" s="672"/>
      <c r="L73" s="672"/>
      <c r="M73" s="672"/>
      <c r="N73" s="672"/>
      <c r="O73" s="672"/>
      <c r="P73" s="33"/>
      <c r="Q73" s="496"/>
      <c r="R73" s="243"/>
      <c r="S73" s="243"/>
      <c r="T73" s="368"/>
      <c r="U73" s="368"/>
      <c r="V73" s="368"/>
      <c r="W73" s="342"/>
      <c r="X73" s="342"/>
      <c r="Y73" s="342"/>
    </row>
    <row r="74" spans="1:25" x14ac:dyDescent="0.25">
      <c r="A74" s="495"/>
      <c r="B74" s="33"/>
      <c r="C74" s="501" t="s">
        <v>385</v>
      </c>
      <c r="D74" s="502"/>
      <c r="E74" s="502"/>
      <c r="F74" s="502"/>
      <c r="G74" s="502"/>
      <c r="H74" s="502"/>
      <c r="I74" s="502"/>
      <c r="J74" s="506" t="s">
        <v>181</v>
      </c>
      <c r="K74" s="243"/>
      <c r="L74" s="243"/>
      <c r="M74" s="243"/>
      <c r="N74" s="243"/>
      <c r="P74" s="33"/>
      <c r="Q74" s="496"/>
      <c r="R74" s="243"/>
      <c r="S74" s="243"/>
      <c r="T74" s="368"/>
      <c r="U74" s="368"/>
      <c r="V74" s="368"/>
      <c r="W74" s="342"/>
      <c r="X74" s="342"/>
      <c r="Y74" s="342"/>
    </row>
    <row r="75" spans="1:25" x14ac:dyDescent="0.25">
      <c r="A75" s="496"/>
      <c r="B75" s="33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33"/>
      <c r="Q75" s="496"/>
      <c r="R75" s="243"/>
      <c r="S75" s="243"/>
      <c r="T75" s="368"/>
      <c r="U75" s="368"/>
      <c r="V75" s="368"/>
      <c r="W75" s="342"/>
      <c r="X75" s="342"/>
      <c r="Y75" s="342"/>
    </row>
    <row r="76" spans="1:25" ht="3.75" customHeight="1" x14ac:dyDescent="0.25">
      <c r="A76" s="495"/>
      <c r="B76" s="495"/>
      <c r="C76" s="495"/>
      <c r="D76" s="495"/>
      <c r="E76" s="495"/>
      <c r="F76" s="495"/>
      <c r="G76" s="495"/>
      <c r="H76" s="495"/>
      <c r="I76" s="495"/>
      <c r="J76" s="495"/>
      <c r="K76" s="495"/>
      <c r="L76" s="495"/>
      <c r="M76" s="495"/>
      <c r="N76" s="495"/>
      <c r="O76" s="495"/>
      <c r="P76" s="495"/>
      <c r="Q76" s="495"/>
      <c r="R76" s="374"/>
      <c r="S76" s="374"/>
      <c r="T76" s="342"/>
      <c r="U76" s="342"/>
      <c r="V76" s="342"/>
      <c r="W76" s="342"/>
      <c r="X76" s="342"/>
      <c r="Y76" s="342"/>
    </row>
    <row r="77" spans="1:25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4"/>
      <c r="S77" s="374"/>
      <c r="T77" s="342"/>
      <c r="U77" s="342"/>
      <c r="V77" s="342"/>
      <c r="W77" s="342"/>
      <c r="X77" s="342"/>
      <c r="Y77" s="342"/>
    </row>
    <row r="78" spans="1:25" x14ac:dyDescent="0.25">
      <c r="C78" s="31"/>
      <c r="R78" s="342"/>
      <c r="S78" s="342"/>
      <c r="T78" s="342"/>
      <c r="U78" s="342"/>
      <c r="V78" s="342"/>
      <c r="W78" s="342"/>
      <c r="X78" s="342"/>
      <c r="Y78" s="342"/>
    </row>
  </sheetData>
  <sheetProtection password="B65E" sheet="1" objects="1" scenarios="1"/>
  <mergeCells count="35">
    <mergeCell ref="C69:O69"/>
    <mergeCell ref="C44:N44"/>
    <mergeCell ref="C45:N45"/>
    <mergeCell ref="C65:G65"/>
    <mergeCell ref="C48:O48"/>
    <mergeCell ref="C57:G57"/>
    <mergeCell ref="C58:G58"/>
    <mergeCell ref="C59:G59"/>
    <mergeCell ref="M61:O61"/>
    <mergeCell ref="M60:O60"/>
    <mergeCell ref="M66:O66"/>
    <mergeCell ref="C64:G64"/>
    <mergeCell ref="M59:O59"/>
    <mergeCell ref="C63:G63"/>
    <mergeCell ref="C2:P3"/>
    <mergeCell ref="C21:J21"/>
    <mergeCell ref="C18:J18"/>
    <mergeCell ref="H23:I23"/>
    <mergeCell ref="H24:I24"/>
    <mergeCell ref="H25:I25"/>
    <mergeCell ref="K25:O28"/>
    <mergeCell ref="C73:O73"/>
    <mergeCell ref="C72:O72"/>
    <mergeCell ref="C61:F61"/>
    <mergeCell ref="K57:L57"/>
    <mergeCell ref="K58:L58"/>
    <mergeCell ref="K63:L63"/>
    <mergeCell ref="K64:L64"/>
    <mergeCell ref="K59:L59"/>
    <mergeCell ref="K65:L65"/>
    <mergeCell ref="M63:O63"/>
    <mergeCell ref="M64:O64"/>
    <mergeCell ref="M65:O65"/>
    <mergeCell ref="M57:O57"/>
    <mergeCell ref="M58:O58"/>
  </mergeCells>
  <conditionalFormatting sqref="E31">
    <cfRule type="expression" dxfId="809" priority="524">
      <formula>AND($K$18="2",OR($K$21="1",$K$21="3"))</formula>
    </cfRule>
    <cfRule type="expression" dxfId="808" priority="525">
      <formula>$K$18="1"</formula>
    </cfRule>
    <cfRule type="expression" dxfId="807" priority="526">
      <formula>OR($K$18="0",OR($K$21="0",$K$21="2"))</formula>
    </cfRule>
  </conditionalFormatting>
  <conditionalFormatting sqref="E36">
    <cfRule type="expression" dxfId="806" priority="419">
      <formula>AND(OR($K$18="2",$K$18="1"),OR($K$21="1",$K$21="3"))</formula>
    </cfRule>
    <cfRule type="expression" dxfId="805" priority="421">
      <formula>OR($K$18="0",OR($K$21="0",$K$21="2"))</formula>
    </cfRule>
  </conditionalFormatting>
  <conditionalFormatting sqref="E37">
    <cfRule type="expression" dxfId="804" priority="412">
      <formula>AND(OR($K$18="2",$K$18="1"),OR($K$21="2",$K$21="3"))</formula>
    </cfRule>
    <cfRule type="expression" dxfId="803" priority="414">
      <formula>OR($K$18="0",OR($K$21="0",$K$21="1"))</formula>
    </cfRule>
  </conditionalFormatting>
  <conditionalFormatting sqref="H57:L59 C57:C59">
    <cfRule type="expression" dxfId="802" priority="12" stopIfTrue="1">
      <formula>OR($K$18="1",$K$18="0")</formula>
    </cfRule>
  </conditionalFormatting>
  <conditionalFormatting sqref="H63:L65 C63:C65">
    <cfRule type="expression" dxfId="801" priority="11" stopIfTrue="1">
      <formula>OR($K$18="2",$K$18="0")</formula>
    </cfRule>
  </conditionalFormatting>
  <conditionalFormatting sqref="I57:I59">
    <cfRule type="expression" dxfId="800" priority="335">
      <formula>OR($K$21="1",$K$21="3")</formula>
    </cfRule>
  </conditionalFormatting>
  <conditionalFormatting sqref="J57:J59">
    <cfRule type="expression" dxfId="799" priority="334">
      <formula>OR($K$21="2",$K$21="3")</formula>
    </cfRule>
  </conditionalFormatting>
  <conditionalFormatting sqref="K57:L59">
    <cfRule type="expression" dxfId="798" priority="324">
      <formula>$K$21="3"</formula>
    </cfRule>
  </conditionalFormatting>
  <conditionalFormatting sqref="H57:H59 C57:C59">
    <cfRule type="expression" dxfId="797" priority="333">
      <formula>$K$18="2"</formula>
    </cfRule>
  </conditionalFormatting>
  <conditionalFormatting sqref="H63:H65 C63:C65">
    <cfRule type="expression" dxfId="796" priority="336">
      <formula>$K$18="1"</formula>
    </cfRule>
  </conditionalFormatting>
  <conditionalFormatting sqref="I63:I65">
    <cfRule type="expression" dxfId="795" priority="326">
      <formula>OR($K$21="1",$K$21="3")</formula>
    </cfRule>
    <cfRule type="expression" dxfId="794" priority="331">
      <formula>$K$21="2"</formula>
    </cfRule>
  </conditionalFormatting>
  <conditionalFormatting sqref="J63:J65">
    <cfRule type="expression" dxfId="793" priority="328">
      <formula>OR($K$21="2",$K$21="3")</formula>
    </cfRule>
    <cfRule type="expression" dxfId="792" priority="330">
      <formula>$K$21="1"</formula>
    </cfRule>
  </conditionalFormatting>
  <conditionalFormatting sqref="K63:L65">
    <cfRule type="expression" dxfId="791" priority="327">
      <formula>$K$21="3"</formula>
    </cfRule>
    <cfRule type="expression" dxfId="790" priority="329">
      <formula>OR($K$21="1",$K$21="2")</formula>
    </cfRule>
  </conditionalFormatting>
  <conditionalFormatting sqref="J57:L59">
    <cfRule type="expression" dxfId="789" priority="332">
      <formula>$K$21="1"</formula>
    </cfRule>
  </conditionalFormatting>
  <conditionalFormatting sqref="I57:I59 K57:L59">
    <cfRule type="expression" dxfId="788" priority="338">
      <formula>$K$21="2"</formula>
    </cfRule>
  </conditionalFormatting>
  <conditionalFormatting sqref="F31 H31">
    <cfRule type="expression" dxfId="787" priority="322">
      <formula>"postup!K18=""2"""</formula>
    </cfRule>
  </conditionalFormatting>
  <conditionalFormatting sqref="K24">
    <cfRule type="expression" dxfId="786" priority="317">
      <formula>AND(K18="2",$H$25-$H$24&gt;(10*365.25))</formula>
    </cfRule>
  </conditionalFormatting>
  <conditionalFormatting sqref="F31:K31">
    <cfRule type="expression" dxfId="785" priority="1172">
      <formula>$J$25&lt;F30</formula>
    </cfRule>
    <cfRule type="expression" dxfId="784" priority="1173">
      <formula>AND($K$18="2",OR($K$21="1",$K$21="3"))</formula>
    </cfRule>
    <cfRule type="expression" dxfId="783" priority="1174">
      <formula>$K$18="1"</formula>
    </cfRule>
    <cfRule type="expression" dxfId="782" priority="1175">
      <formula>OR($K$18="0",OR($K$21="0",$K$21="2"))</formula>
    </cfRule>
  </conditionalFormatting>
  <conditionalFormatting sqref="F30:K30 F35:K35">
    <cfRule type="expression" dxfId="781" priority="1180">
      <formula>$J$25&lt;F30</formula>
    </cfRule>
  </conditionalFormatting>
  <conditionalFormatting sqref="J32:K32">
    <cfRule type="expression" dxfId="780" priority="1183">
      <formula>$J$25&lt;J30</formula>
    </cfRule>
    <cfRule type="expression" dxfId="779" priority="1184">
      <formula>AND($K$18="2",OR($K$21="2",$K$21="3"))</formula>
    </cfRule>
    <cfRule type="expression" dxfId="778" priority="1185">
      <formula>$K$18="1"</formula>
    </cfRule>
    <cfRule type="expression" dxfId="777" priority="1186">
      <formula>OR($K$18="0",OR($K$21="0",$K$21="1"))</formula>
    </cfRule>
  </conditionalFormatting>
  <conditionalFormatting sqref="F36:K36">
    <cfRule type="expression" dxfId="776" priority="1191">
      <formula>$J$25&lt;F35</formula>
    </cfRule>
    <cfRule type="expression" dxfId="775" priority="1192">
      <formula>AND(OR($K$18="2",$K$18="1"),OR($K$21="1",$K$21="3"))</formula>
    </cfRule>
    <cfRule type="expression" dxfId="774" priority="1193">
      <formula>OR($K$18="0",OR($K$21="0",$K$21="2"))</formula>
    </cfRule>
  </conditionalFormatting>
  <conditionalFormatting sqref="F37:K37">
    <cfRule type="expression" dxfId="773" priority="1194">
      <formula>$J$25&lt;F35</formula>
    </cfRule>
    <cfRule type="expression" dxfId="772" priority="1195">
      <formula>AND(OR($K$18="2",$K$18="1"),OR($K$21="2",$K$21="3"))</formula>
    </cfRule>
    <cfRule type="expression" dxfId="771" priority="1196">
      <formula>OR($K$18="0",OR($K$21="0",$K$21="1"))</formula>
    </cfRule>
  </conditionalFormatting>
  <conditionalFormatting sqref="K25:K26">
    <cfRule type="expression" dxfId="770" priority="169">
      <formula>AND(K18="1",($H$25-$H$24)&gt;(5*365.25))</formula>
    </cfRule>
  </conditionalFormatting>
  <conditionalFormatting sqref="L31">
    <cfRule type="expression" dxfId="769" priority="161">
      <formula>$J$25&lt;L30</formula>
    </cfRule>
    <cfRule type="expression" dxfId="768" priority="162">
      <formula>AND($K$18="2",OR($K$21="1",$K$21="3"))</formula>
    </cfRule>
    <cfRule type="expression" dxfId="767" priority="163">
      <formula>$K$18="1"</formula>
    </cfRule>
    <cfRule type="expression" dxfId="766" priority="164">
      <formula>OR($K$18="0",OR($K$21="0",$K$21="2"))</formula>
    </cfRule>
  </conditionalFormatting>
  <conditionalFormatting sqref="L32">
    <cfRule type="expression" dxfId="765" priority="165">
      <formula>$J$25&lt;L30</formula>
    </cfRule>
    <cfRule type="expression" dxfId="764" priority="166">
      <formula>AND($K$18="2",OR($K$21="2",$K$21="3"))</formula>
    </cfRule>
    <cfRule type="expression" dxfId="763" priority="167">
      <formula>$K$18="1"</formula>
    </cfRule>
    <cfRule type="expression" dxfId="762" priority="168">
      <formula>OR($K$18="0",OR($K$21="0",$K$21="1"))</formula>
    </cfRule>
  </conditionalFormatting>
  <conditionalFormatting sqref="M31">
    <cfRule type="expression" dxfId="761" priority="153">
      <formula>$J$25&lt;M30</formula>
    </cfRule>
    <cfRule type="expression" dxfId="760" priority="154">
      <formula>AND($K$18="2",OR($K$21="1",$K$21="3"))</formula>
    </cfRule>
    <cfRule type="expression" dxfId="759" priority="155">
      <formula>$K$18="1"</formula>
    </cfRule>
    <cfRule type="expression" dxfId="758" priority="156">
      <formula>OR($K$18="0",OR($K$21="0",$K$21="2"))</formula>
    </cfRule>
  </conditionalFormatting>
  <conditionalFormatting sqref="M32">
    <cfRule type="expression" dxfId="757" priority="157">
      <formula>$J$25&lt;M30</formula>
    </cfRule>
    <cfRule type="expression" dxfId="756" priority="158">
      <formula>AND($K$18="2",OR($K$21="2",$K$21="3"))</formula>
    </cfRule>
    <cfRule type="expression" dxfId="755" priority="159">
      <formula>$K$18="1"</formula>
    </cfRule>
    <cfRule type="expression" dxfId="754" priority="160">
      <formula>OR($K$18="0",OR($K$21="0",$K$21="1"))</formula>
    </cfRule>
  </conditionalFormatting>
  <conditionalFormatting sqref="N31">
    <cfRule type="expression" dxfId="753" priority="145">
      <formula>$J$25&lt;N30</formula>
    </cfRule>
    <cfRule type="expression" dxfId="752" priority="146">
      <formula>AND($K$18="2",OR($K$21="1",$K$21="3"))</formula>
    </cfRule>
    <cfRule type="expression" dxfId="751" priority="147">
      <formula>$K$18="1"</formula>
    </cfRule>
    <cfRule type="expression" dxfId="750" priority="148">
      <formula>OR($K$18="0",OR($K$21="0",$K$21="2"))</formula>
    </cfRule>
  </conditionalFormatting>
  <conditionalFormatting sqref="N32">
    <cfRule type="expression" dxfId="749" priority="149">
      <formula>$J$25&lt;N30</formula>
    </cfRule>
    <cfRule type="expression" dxfId="748" priority="150">
      <formula>AND($K$18="2",OR($K$21="2",$K$21="3"))</formula>
    </cfRule>
    <cfRule type="expression" dxfId="747" priority="151">
      <formula>$K$18="1"</formula>
    </cfRule>
    <cfRule type="expression" dxfId="746" priority="152">
      <formula>OR($K$18="0",OR($K$21="0",$K$21="1"))</formula>
    </cfRule>
  </conditionalFormatting>
  <conditionalFormatting sqref="O31">
    <cfRule type="expression" dxfId="745" priority="137">
      <formula>$J$25&lt;O30</formula>
    </cfRule>
    <cfRule type="expression" dxfId="744" priority="138">
      <formula>AND($K$18="2",OR($K$21="1",$K$21="3"))</formula>
    </cfRule>
    <cfRule type="expression" dxfId="743" priority="139">
      <formula>$K$18="1"</formula>
    </cfRule>
    <cfRule type="expression" dxfId="742" priority="140">
      <formula>OR($K$18="0",OR($K$21="0",$K$21="2"))</formula>
    </cfRule>
  </conditionalFormatting>
  <conditionalFormatting sqref="O32">
    <cfRule type="expression" dxfId="741" priority="141">
      <formula>$J$25&lt;O30</formula>
    </cfRule>
    <cfRule type="expression" dxfId="740" priority="142">
      <formula>AND($K$18="2",OR($K$21="2",$K$21="3"))</formula>
    </cfRule>
    <cfRule type="expression" dxfId="739" priority="143">
      <formula>$K$18="1"</formula>
    </cfRule>
    <cfRule type="expression" dxfId="738" priority="144">
      <formula>OR($K$18="0",OR($K$21="0",$K$21="1"))</formula>
    </cfRule>
  </conditionalFormatting>
  <conditionalFormatting sqref="L36">
    <cfRule type="expression" dxfId="737" priority="83">
      <formula>$J$25&lt;L35</formula>
    </cfRule>
    <cfRule type="expression" dxfId="736" priority="84">
      <formula>AND(OR($K$18="2",$K$18="1"),OR($K$21="1",$K$21="3"))</formula>
    </cfRule>
    <cfRule type="expression" dxfId="735" priority="85">
      <formula>OR($K$18="0",OR($K$21="0",$K$21="2"))</formula>
    </cfRule>
  </conditionalFormatting>
  <conditionalFormatting sqref="L37">
    <cfRule type="expression" dxfId="734" priority="86">
      <formula>$J$25&lt;L35</formula>
    </cfRule>
    <cfRule type="expression" dxfId="733" priority="87">
      <formula>AND(OR($K$18="2",$K$18="1"),OR($K$21="2",$K$21="3"))</formula>
    </cfRule>
    <cfRule type="expression" dxfId="732" priority="88">
      <formula>OR($K$18="0",OR($K$21="0",$K$21="1"))</formula>
    </cfRule>
  </conditionalFormatting>
  <conditionalFormatting sqref="M36">
    <cfRule type="expression" dxfId="731" priority="77">
      <formula>$J$25&lt;M35</formula>
    </cfRule>
    <cfRule type="expression" dxfId="730" priority="78">
      <formula>AND(OR($K$18="2",$K$18="1"),OR($K$21="1",$K$21="3"))</formula>
    </cfRule>
    <cfRule type="expression" dxfId="729" priority="79">
      <formula>OR($K$18="0",OR($K$21="0",$K$21="2"))</formula>
    </cfRule>
  </conditionalFormatting>
  <conditionalFormatting sqref="M37">
    <cfRule type="expression" dxfId="728" priority="80">
      <formula>$J$25&lt;M35</formula>
    </cfRule>
    <cfRule type="expression" dxfId="727" priority="81">
      <formula>AND(OR($K$18="2",$K$18="1"),OR($K$21="2",$K$21="3"))</formula>
    </cfRule>
    <cfRule type="expression" dxfId="726" priority="82">
      <formula>OR($K$18="0",OR($K$21="0",$K$21="1"))</formula>
    </cfRule>
  </conditionalFormatting>
  <conditionalFormatting sqref="N36">
    <cfRule type="expression" dxfId="725" priority="71">
      <formula>$J$25&lt;N35</formula>
    </cfRule>
    <cfRule type="expression" dxfId="724" priority="72">
      <formula>AND(OR($K$18="2",$K$18="1"),OR($K$21="1",$K$21="3"))</formula>
    </cfRule>
    <cfRule type="expression" dxfId="723" priority="73">
      <formula>OR($K$18="0",OR($K$21="0",$K$21="2"))</formula>
    </cfRule>
  </conditionalFormatting>
  <conditionalFormatting sqref="N37">
    <cfRule type="expression" dxfId="722" priority="74">
      <formula>$J$25&lt;N35</formula>
    </cfRule>
    <cfRule type="expression" dxfId="721" priority="75">
      <formula>AND(OR($K$18="2",$K$18="1"),OR($K$21="2",$K$21="3"))</formula>
    </cfRule>
    <cfRule type="expression" dxfId="720" priority="76">
      <formula>OR($K$18="0",OR($K$21="0",$K$21="1"))</formula>
    </cfRule>
  </conditionalFormatting>
  <conditionalFormatting sqref="O36">
    <cfRule type="expression" dxfId="719" priority="65">
      <formula>$J$25&lt;O35</formula>
    </cfRule>
    <cfRule type="expression" dxfId="718" priority="66">
      <formula>AND(OR($K$18="2",$K$18="1"),OR($K$21="1",$K$21="3"))</formula>
    </cfRule>
    <cfRule type="expression" dxfId="717" priority="67">
      <formula>OR($K$18="0",OR($K$21="0",$K$21="2"))</formula>
    </cfRule>
  </conditionalFormatting>
  <conditionalFormatting sqref="O37">
    <cfRule type="expression" dxfId="716" priority="68">
      <formula>$J$25&lt;O35</formula>
    </cfRule>
    <cfRule type="expression" dxfId="715" priority="69">
      <formula>AND(OR($K$18="2",$K$18="1"),OR($K$21="2",$K$21="3"))</formula>
    </cfRule>
    <cfRule type="expression" dxfId="714" priority="70">
      <formula>OR($K$18="0",OR($K$21="0",$K$21="1"))</formula>
    </cfRule>
  </conditionalFormatting>
  <conditionalFormatting sqref="F40:K40">
    <cfRule type="expression" dxfId="713" priority="52">
      <formula>$J$25&lt;F40</formula>
    </cfRule>
  </conditionalFormatting>
  <conditionalFormatting sqref="F41:K41">
    <cfRule type="expression" dxfId="712" priority="53">
      <formula>$J$25&lt;F40</formula>
    </cfRule>
    <cfRule type="expression" dxfId="711" priority="54">
      <formula>AND(OR($K$18="2",$K$18="1"),OR($K$21="1",$K$21="3"))</formula>
    </cfRule>
    <cfRule type="expression" dxfId="710" priority="55">
      <formula>OR($K$18="0",OR($K$21="0",$K$21="2"))</formula>
    </cfRule>
  </conditionalFormatting>
  <conditionalFormatting sqref="J42:K42">
    <cfRule type="expression" dxfId="709" priority="56">
      <formula>$J$25&lt;J40</formula>
    </cfRule>
    <cfRule type="expression" dxfId="708" priority="57">
      <formula>AND(OR($K$18="2",$K$18="1"),OR($K$21="2",$K$21="3"))</formula>
    </cfRule>
    <cfRule type="expression" dxfId="707" priority="58">
      <formula>OR($K$18="0",OR($K$21="0",$K$21="1"))</formula>
    </cfRule>
  </conditionalFormatting>
  <conditionalFormatting sqref="L41">
    <cfRule type="expression" dxfId="706" priority="42">
      <formula>$J$25&lt;L40</formula>
    </cfRule>
    <cfRule type="expression" dxfId="705" priority="43">
      <formula>AND(OR($K$18="2",$K$18="1"),OR($K$21="1",$K$21="3"))</formula>
    </cfRule>
    <cfRule type="expression" dxfId="704" priority="44">
      <formula>OR($K$18="0",OR($K$21="0",$K$21="2"))</formula>
    </cfRule>
  </conditionalFormatting>
  <conditionalFormatting sqref="L42">
    <cfRule type="expression" dxfId="703" priority="45">
      <formula>$J$25&lt;L40</formula>
    </cfRule>
    <cfRule type="expression" dxfId="702" priority="46">
      <formula>AND(OR($K$18="2",$K$18="1"),OR($K$21="2",$K$21="3"))</formula>
    </cfRule>
    <cfRule type="expression" dxfId="701" priority="47">
      <formula>OR($K$18="0",OR($K$21="0",$K$21="1"))</formula>
    </cfRule>
  </conditionalFormatting>
  <conditionalFormatting sqref="M41">
    <cfRule type="expression" dxfId="700" priority="36">
      <formula>$J$25&lt;M40</formula>
    </cfRule>
    <cfRule type="expression" dxfId="699" priority="37">
      <formula>AND(OR($K$18="2",$K$18="1"),OR($K$21="1",$K$21="3"))</formula>
    </cfRule>
    <cfRule type="expression" dxfId="698" priority="38">
      <formula>OR($K$18="0",OR($K$21="0",$K$21="2"))</formula>
    </cfRule>
  </conditionalFormatting>
  <conditionalFormatting sqref="M42">
    <cfRule type="expression" dxfId="697" priority="39">
      <formula>$J$25&lt;M40</formula>
    </cfRule>
    <cfRule type="expression" dxfId="696" priority="40">
      <formula>AND(OR($K$18="2",$K$18="1"),OR($K$21="2",$K$21="3"))</formula>
    </cfRule>
    <cfRule type="expression" dxfId="695" priority="41">
      <formula>OR($K$18="0",OR($K$21="0",$K$21="1"))</formula>
    </cfRule>
  </conditionalFormatting>
  <conditionalFormatting sqref="N41">
    <cfRule type="expression" dxfId="694" priority="30">
      <formula>$J$25&lt;N40</formula>
    </cfRule>
    <cfRule type="expression" dxfId="693" priority="31">
      <formula>AND(OR($K$18="2",$K$18="1"),OR($K$21="1",$K$21="3"))</formula>
    </cfRule>
    <cfRule type="expression" dxfId="692" priority="32">
      <formula>OR($K$18="0",OR($K$21="0",$K$21="2"))</formula>
    </cfRule>
  </conditionalFormatting>
  <conditionalFormatting sqref="N42">
    <cfRule type="expression" dxfId="691" priority="33">
      <formula>$J$25&lt;N40</formula>
    </cfRule>
    <cfRule type="expression" dxfId="690" priority="34">
      <formula>AND(OR($K$18="2",$K$18="1"),OR($K$21="2",$K$21="3"))</formula>
    </cfRule>
    <cfRule type="expression" dxfId="689" priority="35">
      <formula>OR($K$18="0",OR($K$21="0",$K$21="1"))</formula>
    </cfRule>
  </conditionalFormatting>
  <conditionalFormatting sqref="O41">
    <cfRule type="expression" dxfId="688" priority="24">
      <formula>$J$25&lt;O40</formula>
    </cfRule>
    <cfRule type="expression" dxfId="687" priority="25">
      <formula>AND(OR($K$18="2",$K$18="1"),OR($K$21="1",$K$21="3"))</formula>
    </cfRule>
    <cfRule type="expression" dxfId="686" priority="26">
      <formula>OR($K$18="0",OR($K$21="0",$K$21="2"))</formula>
    </cfRule>
  </conditionalFormatting>
  <conditionalFormatting sqref="O42">
    <cfRule type="expression" dxfId="685" priority="27">
      <formula>$J$25&lt;O40</formula>
    </cfRule>
    <cfRule type="expression" dxfId="684" priority="28">
      <formula>AND(OR($K$18="2",$K$18="1"),OR($K$21="2",$K$21="3"))</formula>
    </cfRule>
    <cfRule type="expression" dxfId="683" priority="29">
      <formula>OR($K$18="0",OR($K$21="0",$K$21="1"))</formula>
    </cfRule>
  </conditionalFormatting>
  <conditionalFormatting sqref="M57:O59">
    <cfRule type="expression" dxfId="682" priority="23" stopIfTrue="1">
      <formula>OR($K$18="1",$K$18="0")</formula>
    </cfRule>
  </conditionalFormatting>
  <conditionalFormatting sqref="M63:O65">
    <cfRule type="expression" dxfId="681" priority="21" stopIfTrue="1">
      <formula>OR($K$18="0",$K$18="2")</formula>
    </cfRule>
  </conditionalFormatting>
  <conditionalFormatting sqref="M64:O65">
    <cfRule type="expression" dxfId="680" priority="22" stopIfTrue="1">
      <formula>$K$18="1"</formula>
    </cfRule>
  </conditionalFormatting>
  <conditionalFormatting sqref="M58:O59">
    <cfRule type="expression" dxfId="679" priority="20" stopIfTrue="1">
      <formula>$K$18="2"</formula>
    </cfRule>
  </conditionalFormatting>
  <conditionalFormatting sqref="L30:O30">
    <cfRule type="expression" dxfId="678" priority="19">
      <formula>$J$25&lt;L30</formula>
    </cfRule>
  </conditionalFormatting>
  <conditionalFormatting sqref="L35:O35">
    <cfRule type="expression" dxfId="677" priority="18">
      <formula>$J$25&lt;L35</formula>
    </cfRule>
  </conditionalFormatting>
  <conditionalFormatting sqref="L40:O40">
    <cfRule type="expression" dxfId="676" priority="17">
      <formula>$J$25&lt;L40</formula>
    </cfRule>
  </conditionalFormatting>
  <conditionalFormatting sqref="M60">
    <cfRule type="expression" dxfId="675" priority="14">
      <formula>OR($M$58+$M$59&gt;1,$M$58+$M$59&lt;1)</formula>
    </cfRule>
  </conditionalFormatting>
  <conditionalFormatting sqref="M66">
    <cfRule type="expression" dxfId="674" priority="13">
      <formula>OR($M$64+$M$65&gt;1,$M$64+$M$65&lt;1)</formula>
    </cfRule>
  </conditionalFormatting>
  <conditionalFormatting sqref="C59:L59">
    <cfRule type="expression" dxfId="673" priority="323">
      <formula>$M$59=0</formula>
    </cfRule>
  </conditionalFormatting>
  <conditionalFormatting sqref="C65:L65">
    <cfRule type="expression" dxfId="672" priority="325">
      <formula>$M$65=0</formula>
    </cfRule>
  </conditionalFormatting>
  <conditionalFormatting sqref="K27">
    <cfRule type="expression" dxfId="671" priority="3869">
      <formula>AND(K19="1",($H$25-$H$24)&gt;(5*365.25))</formula>
    </cfRule>
  </conditionalFormatting>
  <conditionalFormatting sqref="E32">
    <cfRule type="expression" dxfId="670" priority="4">
      <formula>AND($K$18="2",OR($K$21="2",$K$21="3"))</formula>
    </cfRule>
    <cfRule type="expression" dxfId="669" priority="5">
      <formula>$K$18="1"</formula>
    </cfRule>
    <cfRule type="expression" dxfId="668" priority="6">
      <formula>OR($K$18="0",OR($K$21="0",$K$21="1"))</formula>
    </cfRule>
  </conditionalFormatting>
  <conditionalFormatting sqref="F32:I32">
    <cfRule type="expression" dxfId="667" priority="7">
      <formula>$J$25&lt;F30</formula>
    </cfRule>
    <cfRule type="expression" dxfId="666" priority="8">
      <formula>AND($K$18="2",OR($K$21="2",$K$21="3"))</formula>
    </cfRule>
    <cfRule type="expression" dxfId="665" priority="9">
      <formula>$K$18="1"</formula>
    </cfRule>
    <cfRule type="expression" dxfId="664" priority="10">
      <formula>OR($K$18="0",OR($K$21="0",$K$21="1"))</formula>
    </cfRule>
  </conditionalFormatting>
  <conditionalFormatting sqref="F42:I42">
    <cfRule type="expression" dxfId="663" priority="1">
      <formula>$J$25&lt;F40</formula>
    </cfRule>
    <cfRule type="expression" dxfId="662" priority="2">
      <formula>AND(OR($K$18="2",$K$18="1"),OR($K$21="2",$K$21="3"))</formula>
    </cfRule>
    <cfRule type="expression" dxfId="661" priority="3">
      <formula>OR($K$18="0",OR($K$21="0",$K$21="1"))</formula>
    </cfRule>
  </conditionalFormatting>
  <dataValidations count="1">
    <dataValidation type="date" operator="greaterThan" allowBlank="1" showInputMessage="1" showErrorMessage="1" error="Je třeba zadat datum ve tvaru DD.MM.RRRR." sqref="H24:I27" xr:uid="{00000000-0002-0000-0100-000000000000}">
      <formula1>36526</formula1>
    </dataValidation>
  </dataValidations>
  <pageMargins left="0.7" right="0.7" top="0.78740157499999996" bottom="0.78740157499999996" header="0.3" footer="0.3"/>
  <pageSetup paperSize="9" scale="57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Výpočty!$B$26:$B$27</xm:f>
          </x14:formula1>
          <xm:sqref>O44:O45 J74</xm:sqref>
        </x14:dataValidation>
        <x14:dataValidation type="list" allowBlank="1" showInputMessage="1" showErrorMessage="1" xr:uid="{00000000-0002-0000-0100-000002000000}">
          <x14:formula1>
            <xm:f>Výpočty!$B$3:$B$5</xm:f>
          </x14:formula1>
          <xm:sqref>C18</xm:sqref>
        </x14:dataValidation>
        <x14:dataValidation type="list" allowBlank="1" showInputMessage="1" showErrorMessage="1" xr:uid="{00000000-0002-0000-0100-000003000000}">
          <x14:formula1>
            <xm:f>Výpočty!$B$8:$B$11</xm:f>
          </x14:formula1>
          <xm:sqref>C21</xm:sqref>
        </x14:dataValidation>
        <x14:dataValidation type="list" allowBlank="1" showInputMessage="1" showErrorMessage="1" xr:uid="{00000000-0002-0000-0100-000004000000}">
          <x14:formula1>
            <xm:f>Výpočty!$B$27:$B$27</xm:f>
          </x14:formula1>
          <xm:sqref>K45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rgb="FFFFC000"/>
  </sheetPr>
  <dimension ref="A1:T82"/>
  <sheetViews>
    <sheetView tabSelected="1" topLeftCell="A7" zoomScaleNormal="100" workbookViewId="0">
      <selection activeCell="G50" sqref="G50"/>
    </sheetView>
  </sheetViews>
  <sheetFormatPr defaultRowHeight="15" x14ac:dyDescent="0.25"/>
  <cols>
    <col min="1" max="1" width="1.85546875" customWidth="1"/>
    <col min="2" max="2" width="5" customWidth="1"/>
    <col min="3" max="3" width="37.85546875" customWidth="1"/>
    <col min="5" max="5" width="9.140625" customWidth="1"/>
    <col min="7" max="7" width="9.140625" customWidth="1"/>
    <col min="10" max="11" width="6.85546875" customWidth="1"/>
    <col min="12" max="12" width="3.140625" customWidth="1"/>
    <col min="13" max="13" width="2.7109375" customWidth="1"/>
    <col min="14" max="14" width="26" customWidth="1"/>
    <col min="15" max="15" width="5.7109375" customWidth="1"/>
    <col min="16" max="16" width="9.42578125" bestFit="1" customWidth="1"/>
    <col min="17" max="17" width="10.140625" bestFit="1" customWidth="1"/>
  </cols>
  <sheetData>
    <row r="1" spans="2:20" x14ac:dyDescent="0.25">
      <c r="M1" s="34"/>
      <c r="R1" s="33"/>
      <c r="S1" s="33"/>
      <c r="T1" s="33"/>
    </row>
    <row r="2" spans="2:20" ht="15" customHeight="1" x14ac:dyDescent="0.25">
      <c r="B2" s="726" t="s">
        <v>392</v>
      </c>
      <c r="C2" s="727"/>
      <c r="D2" s="727"/>
      <c r="E2" s="727"/>
      <c r="F2" s="727"/>
      <c r="G2" s="727"/>
      <c r="H2" s="727"/>
      <c r="M2" s="734" t="s">
        <v>433</v>
      </c>
      <c r="N2" s="734"/>
      <c r="O2" s="734"/>
      <c r="P2" s="734"/>
      <c r="Q2" s="734"/>
      <c r="R2" s="33"/>
      <c r="S2" s="33"/>
      <c r="T2" s="33"/>
    </row>
    <row r="3" spans="2:20" x14ac:dyDescent="0.25">
      <c r="E3" s="25"/>
      <c r="M3" s="734"/>
      <c r="N3" s="734"/>
      <c r="O3" s="734"/>
      <c r="P3" s="734"/>
      <c r="Q3" s="734"/>
      <c r="R3" s="33"/>
      <c r="S3" s="33"/>
      <c r="T3" s="33"/>
    </row>
    <row r="4" spans="2:20" x14ac:dyDescent="0.25">
      <c r="C4" s="362" t="s">
        <v>119</v>
      </c>
      <c r="D4" s="363">
        <f>Postup!J24</f>
        <v>2020</v>
      </c>
      <c r="M4" s="33"/>
      <c r="P4" s="362" t="s">
        <v>119</v>
      </c>
      <c r="Q4" s="363">
        <f>D4</f>
        <v>2020</v>
      </c>
      <c r="R4" s="33"/>
      <c r="S4" s="33"/>
      <c r="T4" s="33"/>
    </row>
    <row r="5" spans="2:20" x14ac:dyDescent="0.25">
      <c r="B5" s="13" t="s">
        <v>74</v>
      </c>
      <c r="C5" s="334" t="s">
        <v>105</v>
      </c>
      <c r="D5" s="715" t="str">
        <f>IF(AND(ISTEXT('Krycí list'!C14),(Postup!K18="1")),CONCATENATE('Krycí list'!C14,", IČ ",'Krycí list'!C15),IF(AND(ISTEXT('Krycí list'!C24),Postup!K18="2"),CONCATENATE('Krycí list'!C24,", IČ ",'Krycí list'!C25),""))</f>
        <v/>
      </c>
      <c r="E5" s="716"/>
      <c r="F5" s="716"/>
      <c r="G5" s="716"/>
      <c r="H5" s="717"/>
      <c r="I5" s="31"/>
      <c r="O5" s="39" t="s">
        <v>154</v>
      </c>
      <c r="P5" s="40" t="s">
        <v>3</v>
      </c>
      <c r="Q5" s="40" t="s">
        <v>4</v>
      </c>
      <c r="R5" s="33"/>
      <c r="S5" s="33"/>
      <c r="T5" s="33"/>
    </row>
    <row r="6" spans="2:20" x14ac:dyDescent="0.25">
      <c r="B6" s="13" t="s">
        <v>100</v>
      </c>
      <c r="C6" s="13" t="s">
        <v>106</v>
      </c>
      <c r="D6" s="715" t="str">
        <f>IF(ISBLANK('Krycí list'!C24),"",CONCATENATE('Krycí list'!C24,", IČ ",'Krycí list'!C25))</f>
        <v/>
      </c>
      <c r="E6" s="716"/>
      <c r="F6" s="716"/>
      <c r="G6" s="716"/>
      <c r="H6" s="717"/>
      <c r="I6" s="31"/>
      <c r="M6" s="38" t="s">
        <v>8</v>
      </c>
      <c r="N6" s="41" t="s">
        <v>140</v>
      </c>
      <c r="O6" s="38" t="s">
        <v>155</v>
      </c>
      <c r="P6" s="626">
        <v>0</v>
      </c>
      <c r="Q6" s="626">
        <v>0</v>
      </c>
      <c r="R6" s="34"/>
      <c r="S6" s="33"/>
      <c r="T6" s="33"/>
    </row>
    <row r="7" spans="2:20" x14ac:dyDescent="0.25">
      <c r="B7" s="13" t="s">
        <v>101</v>
      </c>
      <c r="C7" s="334" t="s">
        <v>107</v>
      </c>
      <c r="D7" s="715" t="str">
        <f>IF(ISBLANK('Krycí list'!C14),"",CONCATENATE('Krycí list'!C14,", IČ ",'Krycí list'!C15))</f>
        <v xml:space="preserve">Město Kraslice, IČ </v>
      </c>
      <c r="E7" s="716"/>
      <c r="F7" s="716"/>
      <c r="G7" s="716"/>
      <c r="H7" s="717"/>
      <c r="I7" s="31"/>
      <c r="M7" s="38" t="s">
        <v>19</v>
      </c>
      <c r="N7" s="41" t="s">
        <v>141</v>
      </c>
      <c r="O7" s="38" t="s">
        <v>155</v>
      </c>
      <c r="P7" s="627">
        <v>0</v>
      </c>
      <c r="Q7" s="627">
        <v>0</v>
      </c>
      <c r="R7" s="34"/>
      <c r="S7" s="33"/>
      <c r="T7" s="33"/>
    </row>
    <row r="8" spans="2:20" ht="15" customHeight="1" x14ac:dyDescent="0.25">
      <c r="B8" s="13" t="s">
        <v>102</v>
      </c>
      <c r="C8" s="13" t="s">
        <v>109</v>
      </c>
      <c r="D8" s="718"/>
      <c r="E8" s="719"/>
      <c r="F8" s="719"/>
      <c r="G8" s="719"/>
      <c r="H8" s="720"/>
      <c r="M8" s="743" t="s">
        <v>25</v>
      </c>
      <c r="N8" s="741" t="s">
        <v>142</v>
      </c>
      <c r="O8" s="743" t="s">
        <v>155</v>
      </c>
      <c r="P8" s="737">
        <f>P10-P14+P18</f>
        <v>0</v>
      </c>
      <c r="Q8" s="737">
        <f ca="1">Q10-Q14+Q18</f>
        <v>110.8379172558283</v>
      </c>
      <c r="R8" s="33"/>
      <c r="S8" s="33"/>
      <c r="T8" s="33"/>
    </row>
    <row r="9" spans="2:20" ht="15" customHeight="1" x14ac:dyDescent="0.25">
      <c r="B9" s="13" t="s">
        <v>103</v>
      </c>
      <c r="C9" s="13" t="s">
        <v>108</v>
      </c>
      <c r="D9" s="718"/>
      <c r="E9" s="719"/>
      <c r="F9" s="719"/>
      <c r="G9" s="719"/>
      <c r="H9" s="720"/>
      <c r="M9" s="742"/>
      <c r="N9" s="742"/>
      <c r="O9" s="742"/>
      <c r="P9" s="738"/>
      <c r="Q9" s="738"/>
      <c r="R9" s="33"/>
      <c r="S9" s="33"/>
      <c r="T9" s="33"/>
    </row>
    <row r="10" spans="2:20" ht="15" customHeight="1" x14ac:dyDescent="0.25">
      <c r="B10" s="13" t="s">
        <v>104</v>
      </c>
      <c r="C10" s="13" t="s">
        <v>110</v>
      </c>
      <c r="D10" s="718"/>
      <c r="E10" s="719"/>
      <c r="F10" s="719"/>
      <c r="G10" s="719"/>
      <c r="H10" s="720"/>
      <c r="M10" s="744" t="s">
        <v>137</v>
      </c>
      <c r="N10" s="747" t="s">
        <v>143</v>
      </c>
      <c r="O10" s="744" t="s">
        <v>155</v>
      </c>
      <c r="P10" s="749">
        <f>90/365*P12</f>
        <v>0</v>
      </c>
      <c r="Q10" s="749">
        <f ca="1">90/365*Q12</f>
        <v>124.13156359046155</v>
      </c>
      <c r="R10" s="33"/>
      <c r="S10" s="33"/>
      <c r="T10" s="33"/>
    </row>
    <row r="11" spans="2:20" ht="15" customHeight="1" x14ac:dyDescent="0.25">
      <c r="M11" s="745"/>
      <c r="N11" s="748"/>
      <c r="O11" s="746"/>
      <c r="P11" s="750"/>
      <c r="Q11" s="750"/>
      <c r="R11" s="34"/>
      <c r="S11" s="33"/>
      <c r="T11" s="33"/>
    </row>
    <row r="12" spans="2:20" x14ac:dyDescent="0.25">
      <c r="B12" s="2"/>
      <c r="C12" s="721" t="s">
        <v>0</v>
      </c>
      <c r="D12" s="722"/>
      <c r="E12" s="722"/>
      <c r="F12" s="722"/>
      <c r="G12" s="722"/>
      <c r="H12" s="725"/>
      <c r="M12" s="745"/>
      <c r="N12" s="753" t="s">
        <v>192</v>
      </c>
      <c r="O12" s="751" t="s">
        <v>155</v>
      </c>
      <c r="P12" s="573">
        <f>Výpočty!H32</f>
        <v>0</v>
      </c>
      <c r="Q12" s="569">
        <f ca="1">Výpočty!I32</f>
        <v>503.42245233909409</v>
      </c>
      <c r="R12" s="130"/>
      <c r="S12" s="33"/>
      <c r="T12" s="33"/>
    </row>
    <row r="13" spans="2:20" ht="15" customHeight="1" x14ac:dyDescent="0.25">
      <c r="B13" s="4"/>
      <c r="C13" s="5" t="s">
        <v>1</v>
      </c>
      <c r="D13" s="6" t="s">
        <v>2</v>
      </c>
      <c r="E13" s="721" t="s">
        <v>3</v>
      </c>
      <c r="F13" s="722"/>
      <c r="G13" s="721" t="s">
        <v>4</v>
      </c>
      <c r="H13" s="725"/>
      <c r="M13" s="746"/>
      <c r="N13" s="754"/>
      <c r="O13" s="752"/>
      <c r="P13" s="574"/>
      <c r="Q13" s="570"/>
      <c r="R13" s="130"/>
      <c r="S13" s="33"/>
      <c r="T13" s="33"/>
    </row>
    <row r="14" spans="2:20" ht="15" customHeight="1" x14ac:dyDescent="0.25">
      <c r="B14" s="16" t="s">
        <v>5</v>
      </c>
      <c r="C14" s="18"/>
      <c r="D14" s="7" t="s">
        <v>6</v>
      </c>
      <c r="E14" s="322">
        <f>D4-1</f>
        <v>2019</v>
      </c>
      <c r="F14" s="30">
        <f>D4</f>
        <v>2020</v>
      </c>
      <c r="G14" s="322">
        <f>D4-1</f>
        <v>2019</v>
      </c>
      <c r="H14" s="30">
        <f>D4</f>
        <v>2020</v>
      </c>
      <c r="M14" s="744" t="s">
        <v>138</v>
      </c>
      <c r="N14" s="765" t="s">
        <v>145</v>
      </c>
      <c r="O14" s="743" t="s">
        <v>155</v>
      </c>
      <c r="P14" s="739">
        <f>15/365*P16</f>
        <v>0</v>
      </c>
      <c r="Q14" s="739">
        <f>15/365*Q16</f>
        <v>17.671232876712327</v>
      </c>
      <c r="S14" s="33"/>
      <c r="T14" s="33"/>
    </row>
    <row r="15" spans="2:20" x14ac:dyDescent="0.25">
      <c r="B15" s="17"/>
      <c r="C15" s="20"/>
      <c r="D15" s="7"/>
      <c r="E15" s="323" t="s">
        <v>114</v>
      </c>
      <c r="F15" s="7" t="s">
        <v>114</v>
      </c>
      <c r="G15" s="323" t="s">
        <v>114</v>
      </c>
      <c r="H15" s="19" t="s">
        <v>114</v>
      </c>
      <c r="M15" s="745"/>
      <c r="N15" s="766"/>
      <c r="O15" s="742"/>
      <c r="P15" s="740"/>
      <c r="Q15" s="740"/>
      <c r="S15" s="33"/>
      <c r="T15" s="33"/>
    </row>
    <row r="16" spans="2:20" ht="15" customHeight="1" x14ac:dyDescent="0.25">
      <c r="B16" s="11">
        <v>1</v>
      </c>
      <c r="C16" s="11">
        <v>2</v>
      </c>
      <c r="D16" s="11" t="s">
        <v>111</v>
      </c>
      <c r="E16" s="11"/>
      <c r="F16" s="11">
        <v>4</v>
      </c>
      <c r="G16" s="11"/>
      <c r="H16" s="22">
        <v>7</v>
      </c>
      <c r="M16" s="745"/>
      <c r="N16" s="753" t="s">
        <v>338</v>
      </c>
      <c r="O16" s="751" t="s">
        <v>155</v>
      </c>
      <c r="P16" s="573">
        <f>Výpočty!H33</f>
        <v>0</v>
      </c>
      <c r="Q16" s="569">
        <f>Výpočty!I33</f>
        <v>430</v>
      </c>
      <c r="R16" s="130"/>
      <c r="S16" s="33"/>
      <c r="T16" s="33"/>
    </row>
    <row r="17" spans="2:20" ht="15" customHeight="1" x14ac:dyDescent="0.25">
      <c r="B17" s="9" t="s">
        <v>8</v>
      </c>
      <c r="C17" s="10" t="s">
        <v>9</v>
      </c>
      <c r="D17" s="11" t="s">
        <v>134</v>
      </c>
      <c r="E17" s="144">
        <f>SUM(E18:E21)</f>
        <v>0</v>
      </c>
      <c r="F17" s="144">
        <f>SUM(F18:F21)</f>
        <v>0</v>
      </c>
      <c r="G17" s="144">
        <f>SUM(G18:G21)</f>
        <v>0.33166600000000002</v>
      </c>
      <c r="H17" s="145">
        <f>SUM(H18:H21)</f>
        <v>0.28999999999999998</v>
      </c>
      <c r="M17" s="746"/>
      <c r="N17" s="754"/>
      <c r="O17" s="752"/>
      <c r="P17" s="575"/>
      <c r="Q17" s="578"/>
      <c r="R17" s="130"/>
      <c r="S17" s="33"/>
      <c r="T17" s="33"/>
    </row>
    <row r="18" spans="2:20" x14ac:dyDescent="0.25">
      <c r="B18" s="12" t="s">
        <v>11</v>
      </c>
      <c r="C18" s="13" t="s">
        <v>12</v>
      </c>
      <c r="D18" s="3" t="s">
        <v>134</v>
      </c>
      <c r="E18" s="602">
        <v>0</v>
      </c>
      <c r="F18" s="603">
        <v>0</v>
      </c>
      <c r="G18" s="602">
        <v>0</v>
      </c>
      <c r="H18" s="609">
        <v>0</v>
      </c>
      <c r="I18" s="714" t="s">
        <v>309</v>
      </c>
      <c r="J18" s="714"/>
      <c r="K18" s="714"/>
      <c r="M18" s="743" t="s">
        <v>139</v>
      </c>
      <c r="N18" s="741" t="s">
        <v>144</v>
      </c>
      <c r="O18" s="773" t="s">
        <v>155</v>
      </c>
      <c r="P18" s="410">
        <f>Výpočty!H34</f>
        <v>0</v>
      </c>
      <c r="Q18" s="571">
        <f ca="1">Výpočty!I34</f>
        <v>4.3775865420790794</v>
      </c>
      <c r="R18" s="130"/>
      <c r="S18" s="33"/>
      <c r="T18" s="33"/>
    </row>
    <row r="19" spans="2:20" ht="15.75" thickBot="1" x14ac:dyDescent="0.3">
      <c r="B19" s="12" t="s">
        <v>13</v>
      </c>
      <c r="C19" s="12" t="s">
        <v>14</v>
      </c>
      <c r="D19" s="3" t="s">
        <v>134</v>
      </c>
      <c r="E19" s="604">
        <v>0</v>
      </c>
      <c r="F19" s="605">
        <v>0</v>
      </c>
      <c r="G19" s="604">
        <v>0.33166600000000002</v>
      </c>
      <c r="H19" s="606">
        <v>0.28999999999999998</v>
      </c>
      <c r="I19" s="91" t="s">
        <v>174</v>
      </c>
      <c r="J19" s="91" t="s">
        <v>135</v>
      </c>
      <c r="K19" s="91" t="s">
        <v>136</v>
      </c>
      <c r="M19" s="742"/>
      <c r="N19" s="742"/>
      <c r="O19" s="774"/>
      <c r="P19" s="577"/>
      <c r="Q19" s="572"/>
      <c r="R19" s="130"/>
      <c r="S19" s="33"/>
      <c r="T19" s="33"/>
    </row>
    <row r="20" spans="2:20" ht="15.75" customHeight="1" thickBot="1" x14ac:dyDescent="0.3">
      <c r="B20" s="12" t="s">
        <v>15</v>
      </c>
      <c r="C20" s="13" t="s">
        <v>16</v>
      </c>
      <c r="D20" s="3" t="s">
        <v>134</v>
      </c>
      <c r="E20" s="624">
        <v>0</v>
      </c>
      <c r="F20" s="147">
        <f>IF(G61=0,0,J20*G61/1000)</f>
        <v>0</v>
      </c>
      <c r="G20" s="614">
        <v>0</v>
      </c>
      <c r="H20" s="147">
        <f>IF(H61=0,0,K20*H61/1000)</f>
        <v>0</v>
      </c>
      <c r="I20" s="92" t="s">
        <v>290</v>
      </c>
      <c r="J20" s="607">
        <v>0</v>
      </c>
      <c r="K20" s="608">
        <v>0</v>
      </c>
      <c r="M20" s="38" t="s">
        <v>31</v>
      </c>
      <c r="N20" s="41" t="s">
        <v>146</v>
      </c>
      <c r="O20" s="38" t="s">
        <v>155</v>
      </c>
      <c r="P20" s="576">
        <v>0</v>
      </c>
      <c r="Q20" s="576">
        <v>0</v>
      </c>
      <c r="R20" s="34"/>
      <c r="S20" s="33"/>
      <c r="T20" s="33"/>
    </row>
    <row r="21" spans="2:20" ht="15" customHeight="1" thickBot="1" x14ac:dyDescent="0.3">
      <c r="B21" s="12" t="s">
        <v>17</v>
      </c>
      <c r="C21" s="13" t="s">
        <v>18</v>
      </c>
      <c r="D21" s="3" t="s">
        <v>134</v>
      </c>
      <c r="E21" s="612">
        <v>0</v>
      </c>
      <c r="F21" s="613">
        <v>0</v>
      </c>
      <c r="G21" s="614">
        <v>0</v>
      </c>
      <c r="H21" s="615">
        <v>0</v>
      </c>
      <c r="I21" s="92" t="s">
        <v>290</v>
      </c>
      <c r="J21" s="607">
        <v>0</v>
      </c>
      <c r="K21" s="608">
        <v>0</v>
      </c>
      <c r="M21" s="743" t="s">
        <v>41</v>
      </c>
      <c r="N21" s="741" t="s">
        <v>147</v>
      </c>
      <c r="O21" s="743" t="s">
        <v>155</v>
      </c>
      <c r="P21" s="737">
        <f>P6+P7+P8+P20</f>
        <v>0</v>
      </c>
      <c r="Q21" s="737">
        <f ca="1">Q6+Q7+Q8+Q20</f>
        <v>110.8379172558283</v>
      </c>
      <c r="R21" s="33"/>
      <c r="S21" s="33"/>
      <c r="T21" s="33"/>
    </row>
    <row r="22" spans="2:20" ht="15.75" thickBot="1" x14ac:dyDescent="0.3">
      <c r="B22" s="9" t="s">
        <v>19</v>
      </c>
      <c r="C22" s="10" t="s">
        <v>20</v>
      </c>
      <c r="D22" s="11" t="s">
        <v>134</v>
      </c>
      <c r="E22" s="335">
        <f>SUM(E23:E24)</f>
        <v>0</v>
      </c>
      <c r="F22" s="335">
        <f>SUM(F23:F24)</f>
        <v>0</v>
      </c>
      <c r="G22" s="335">
        <f>SUM(G23:G24)</f>
        <v>3.0221999999999999E-2</v>
      </c>
      <c r="H22" s="336">
        <f>SUM(H23:H24)</f>
        <v>0</v>
      </c>
      <c r="I22" s="337" t="s">
        <v>253</v>
      </c>
      <c r="J22" s="507" t="s">
        <v>253</v>
      </c>
      <c r="K22" s="507" t="s">
        <v>253</v>
      </c>
      <c r="M22" s="742"/>
      <c r="N22" s="742"/>
      <c r="O22" s="742"/>
      <c r="P22" s="738"/>
      <c r="Q22" s="738"/>
      <c r="R22" s="33"/>
      <c r="S22" s="33"/>
      <c r="T22" s="33"/>
    </row>
    <row r="23" spans="2:20" ht="15.75" thickBot="1" x14ac:dyDescent="0.3">
      <c r="B23" s="12" t="s">
        <v>21</v>
      </c>
      <c r="C23" s="12" t="s">
        <v>22</v>
      </c>
      <c r="D23" s="3" t="s">
        <v>134</v>
      </c>
      <c r="E23" s="612">
        <v>0</v>
      </c>
      <c r="F23" s="146">
        <f>IF(G61=0,0,J23*G61/1000)</f>
        <v>0</v>
      </c>
      <c r="G23" s="614">
        <v>3.0221999999999999E-2</v>
      </c>
      <c r="H23" s="147">
        <f>IF(H61=0,0,K23*H61/1000)</f>
        <v>0</v>
      </c>
      <c r="I23" s="92" t="s">
        <v>290</v>
      </c>
      <c r="J23" s="607">
        <v>0</v>
      </c>
      <c r="K23" s="608">
        <v>0</v>
      </c>
      <c r="M23" s="38" t="s">
        <v>49</v>
      </c>
      <c r="N23" s="41" t="s">
        <v>148</v>
      </c>
      <c r="O23" s="39" t="s">
        <v>90</v>
      </c>
      <c r="P23" s="84">
        <v>7.0000000000000007E-2</v>
      </c>
      <c r="Q23" s="84">
        <v>7.0000000000000007E-2</v>
      </c>
      <c r="R23" s="34"/>
      <c r="S23" s="33"/>
      <c r="T23" s="33"/>
    </row>
    <row r="24" spans="2:20" ht="15.75" thickBot="1" x14ac:dyDescent="0.3">
      <c r="B24" s="12" t="s">
        <v>23</v>
      </c>
      <c r="C24" s="12" t="s">
        <v>24</v>
      </c>
      <c r="D24" s="3" t="s">
        <v>134</v>
      </c>
      <c r="E24" s="612">
        <v>0</v>
      </c>
      <c r="F24" s="613">
        <v>0</v>
      </c>
      <c r="G24" s="614">
        <v>0</v>
      </c>
      <c r="H24" s="615">
        <v>0</v>
      </c>
      <c r="I24" s="92" t="s">
        <v>290</v>
      </c>
      <c r="J24" s="607">
        <v>0</v>
      </c>
      <c r="K24" s="608">
        <v>0</v>
      </c>
      <c r="M24" s="38" t="s">
        <v>51</v>
      </c>
      <c r="N24" s="41" t="s">
        <v>149</v>
      </c>
      <c r="O24" s="38" t="s">
        <v>155</v>
      </c>
      <c r="P24" s="136">
        <v>0</v>
      </c>
      <c r="Q24" s="136">
        <v>0</v>
      </c>
      <c r="R24" s="34"/>
      <c r="S24" s="33"/>
      <c r="T24" s="33"/>
    </row>
    <row r="25" spans="2:20" ht="15.75" thickBot="1" x14ac:dyDescent="0.3">
      <c r="B25" s="9" t="s">
        <v>25</v>
      </c>
      <c r="C25" s="10" t="s">
        <v>26</v>
      </c>
      <c r="D25" s="11" t="s">
        <v>134</v>
      </c>
      <c r="E25" s="335">
        <f>SUM(E26:E27)</f>
        <v>0</v>
      </c>
      <c r="F25" s="335">
        <f>SUM(F26:F27)</f>
        <v>0</v>
      </c>
      <c r="G25" s="335">
        <f>SUM(G26:G27)</f>
        <v>9.9275000000000002E-2</v>
      </c>
      <c r="H25" s="336">
        <f>SUM(H26:H27)</f>
        <v>0</v>
      </c>
      <c r="I25" s="337" t="s">
        <v>253</v>
      </c>
      <c r="J25" s="507" t="s">
        <v>253</v>
      </c>
      <c r="K25" s="507" t="s">
        <v>253</v>
      </c>
      <c r="M25" s="767" t="s">
        <v>150</v>
      </c>
      <c r="N25" s="768"/>
      <c r="O25" s="771" t="s">
        <v>155</v>
      </c>
      <c r="P25" s="763">
        <f>P21*P23+P24</f>
        <v>0</v>
      </c>
      <c r="Q25" s="763">
        <f ca="1">Q21*Q23+Q24</f>
        <v>7.7586542079079814</v>
      </c>
      <c r="R25" s="33"/>
    </row>
    <row r="26" spans="2:20" ht="15.75" thickBot="1" x14ac:dyDescent="0.3">
      <c r="B26" s="12" t="s">
        <v>27</v>
      </c>
      <c r="C26" s="13" t="s">
        <v>28</v>
      </c>
      <c r="D26" s="3" t="s">
        <v>134</v>
      </c>
      <c r="E26" s="612">
        <v>0</v>
      </c>
      <c r="F26" s="613">
        <v>0</v>
      </c>
      <c r="G26" s="614">
        <v>6.8445000000000006E-2</v>
      </c>
      <c r="H26" s="615">
        <v>0</v>
      </c>
      <c r="I26" s="92" t="s">
        <v>290</v>
      </c>
      <c r="J26" s="607">
        <v>0</v>
      </c>
      <c r="K26" s="608">
        <v>0</v>
      </c>
      <c r="M26" s="769"/>
      <c r="N26" s="770"/>
      <c r="O26" s="772"/>
      <c r="P26" s="764"/>
      <c r="Q26" s="764"/>
      <c r="R26" s="33"/>
    </row>
    <row r="27" spans="2:20" ht="15.75" thickBot="1" x14ac:dyDescent="0.3">
      <c r="B27" s="12" t="s">
        <v>29</v>
      </c>
      <c r="C27" s="13" t="s">
        <v>30</v>
      </c>
      <c r="D27" s="3" t="s">
        <v>134</v>
      </c>
      <c r="E27" s="612">
        <v>0</v>
      </c>
      <c r="F27" s="613">
        <v>0</v>
      </c>
      <c r="G27" s="614">
        <v>3.083E-2</v>
      </c>
      <c r="H27" s="615">
        <v>0</v>
      </c>
      <c r="I27" s="92" t="s">
        <v>290</v>
      </c>
      <c r="J27" s="607">
        <v>0</v>
      </c>
      <c r="K27" s="608">
        <v>0</v>
      </c>
      <c r="M27" s="728" t="s">
        <v>291</v>
      </c>
      <c r="N27" s="729"/>
      <c r="O27" s="88" t="s">
        <v>155</v>
      </c>
      <c r="P27" s="200">
        <f>P25*P28</f>
        <v>0</v>
      </c>
      <c r="Q27" s="200">
        <f ca="1">Q25*Q28</f>
        <v>0</v>
      </c>
      <c r="R27" s="34"/>
    </row>
    <row r="28" spans="2:20" x14ac:dyDescent="0.25">
      <c r="B28" s="9" t="s">
        <v>31</v>
      </c>
      <c r="C28" s="10" t="s">
        <v>32</v>
      </c>
      <c r="D28" s="11" t="s">
        <v>134</v>
      </c>
      <c r="E28" s="338">
        <f>SUM(E29:E32)</f>
        <v>0</v>
      </c>
      <c r="F28" s="338">
        <f t="shared" ref="F28:H28" si="0">SUM(F29:F32)</f>
        <v>0</v>
      </c>
      <c r="G28" s="338">
        <f t="shared" si="0"/>
        <v>0.236785</v>
      </c>
      <c r="H28" s="339">
        <f t="shared" si="0"/>
        <v>0.14000000000000001</v>
      </c>
      <c r="I28" s="337" t="s">
        <v>253</v>
      </c>
      <c r="J28" s="507" t="s">
        <v>253</v>
      </c>
      <c r="K28" s="507" t="s">
        <v>253</v>
      </c>
      <c r="M28" s="730"/>
      <c r="N28" s="731"/>
      <c r="O28" s="40" t="s">
        <v>244</v>
      </c>
      <c r="P28" s="628">
        <v>0</v>
      </c>
      <c r="Q28" s="628">
        <v>0</v>
      </c>
      <c r="R28" s="130"/>
    </row>
    <row r="29" spans="2:20" x14ac:dyDescent="0.25">
      <c r="B29" s="12" t="s">
        <v>33</v>
      </c>
      <c r="C29" s="12" t="s">
        <v>34</v>
      </c>
      <c r="D29" s="3" t="s">
        <v>134</v>
      </c>
      <c r="E29" s="604">
        <v>0</v>
      </c>
      <c r="F29" s="619">
        <v>0</v>
      </c>
      <c r="G29" s="604">
        <v>0</v>
      </c>
      <c r="H29" s="620">
        <v>0</v>
      </c>
      <c r="I29" s="91" t="s">
        <v>253</v>
      </c>
      <c r="J29" s="508" t="s">
        <v>253</v>
      </c>
      <c r="K29" s="508" t="s">
        <v>253</v>
      </c>
      <c r="M29" s="41" t="s">
        <v>191</v>
      </c>
      <c r="N29" s="61"/>
      <c r="O29" s="87" t="s">
        <v>155</v>
      </c>
      <c r="P29" s="83">
        <f>P25-P27</f>
        <v>0</v>
      </c>
      <c r="Q29" s="83">
        <f ca="1">Q25-Q27</f>
        <v>7.7586542079079814</v>
      </c>
    </row>
    <row r="30" spans="2:20" x14ac:dyDescent="0.25">
      <c r="B30" s="12" t="s">
        <v>35</v>
      </c>
      <c r="C30" s="13" t="s">
        <v>36</v>
      </c>
      <c r="D30" s="3" t="s">
        <v>134</v>
      </c>
      <c r="E30" s="621">
        <v>0</v>
      </c>
      <c r="F30" s="622">
        <v>0</v>
      </c>
      <c r="G30" s="621">
        <v>0.183785</v>
      </c>
      <c r="H30" s="622">
        <v>0</v>
      </c>
      <c r="I30" s="294" t="s">
        <v>253</v>
      </c>
      <c r="J30" s="509" t="s">
        <v>253</v>
      </c>
      <c r="K30" s="509" t="s">
        <v>253</v>
      </c>
      <c r="M30" s="183" t="s">
        <v>321</v>
      </c>
      <c r="N30" s="182"/>
      <c r="O30" s="182"/>
      <c r="P30" s="182"/>
      <c r="Q30" s="182"/>
      <c r="R30" s="182"/>
    </row>
    <row r="31" spans="2:20" x14ac:dyDescent="0.25">
      <c r="B31" s="12" t="s">
        <v>37</v>
      </c>
      <c r="C31" s="13" t="s">
        <v>38</v>
      </c>
      <c r="D31" s="3" t="s">
        <v>134</v>
      </c>
      <c r="E31" s="616">
        <v>0</v>
      </c>
      <c r="F31" s="623">
        <f>Postup!E31</f>
        <v>0</v>
      </c>
      <c r="G31" s="616">
        <v>5.2999999999999999E-2</v>
      </c>
      <c r="H31" s="623">
        <f>Postup!E32</f>
        <v>0.14000000000000001</v>
      </c>
      <c r="I31" s="340" t="s">
        <v>253</v>
      </c>
      <c r="J31" s="510" t="s">
        <v>253</v>
      </c>
      <c r="K31" s="510" t="s">
        <v>253</v>
      </c>
      <c r="R31" s="182"/>
    </row>
    <row r="32" spans="2:20" x14ac:dyDescent="0.25">
      <c r="B32" s="12" t="s">
        <v>39</v>
      </c>
      <c r="C32" s="21" t="s">
        <v>40</v>
      </c>
      <c r="D32" s="3" t="s">
        <v>134</v>
      </c>
      <c r="E32" s="602">
        <v>0</v>
      </c>
      <c r="F32" s="149">
        <v>0</v>
      </c>
      <c r="G32" s="602">
        <v>0</v>
      </c>
      <c r="H32" s="150">
        <v>0</v>
      </c>
      <c r="I32" s="294" t="s">
        <v>253</v>
      </c>
      <c r="J32" s="509" t="s">
        <v>253</v>
      </c>
      <c r="K32" s="509" t="s">
        <v>253</v>
      </c>
    </row>
    <row r="33" spans="2:18" x14ac:dyDescent="0.25">
      <c r="B33" s="9" t="s">
        <v>41</v>
      </c>
      <c r="C33" s="10" t="s">
        <v>42</v>
      </c>
      <c r="D33" s="11" t="s">
        <v>134</v>
      </c>
      <c r="E33" s="144">
        <f>SUM(E34:E36)</f>
        <v>0</v>
      </c>
      <c r="F33" s="144">
        <f>SUM(F34:F36)</f>
        <v>0</v>
      </c>
      <c r="G33" s="144">
        <f>SUM(G34:G36)</f>
        <v>0</v>
      </c>
      <c r="H33" s="145">
        <f>SUM(H34:H36)</f>
        <v>0</v>
      </c>
      <c r="I33" s="294" t="s">
        <v>253</v>
      </c>
      <c r="J33" s="509" t="s">
        <v>253</v>
      </c>
      <c r="K33" s="509" t="s">
        <v>253</v>
      </c>
    </row>
    <row r="34" spans="2:18" ht="15.75" thickBot="1" x14ac:dyDescent="0.3">
      <c r="B34" s="12" t="s">
        <v>43</v>
      </c>
      <c r="C34" s="13" t="s">
        <v>44</v>
      </c>
      <c r="D34" s="3" t="s">
        <v>134</v>
      </c>
      <c r="E34" s="604">
        <v>0</v>
      </c>
      <c r="F34" s="341">
        <v>0</v>
      </c>
      <c r="G34" s="604">
        <v>0</v>
      </c>
      <c r="H34" s="606">
        <v>0</v>
      </c>
      <c r="I34" s="91" t="s">
        <v>253</v>
      </c>
      <c r="J34" s="508" t="s">
        <v>253</v>
      </c>
      <c r="K34" s="508" t="s">
        <v>253</v>
      </c>
    </row>
    <row r="35" spans="2:18" ht="15.75" thickBot="1" x14ac:dyDescent="0.3">
      <c r="B35" s="12" t="s">
        <v>45</v>
      </c>
      <c r="C35" s="12" t="s">
        <v>46</v>
      </c>
      <c r="D35" s="3" t="s">
        <v>134</v>
      </c>
      <c r="E35" s="612">
        <v>0</v>
      </c>
      <c r="F35" s="613">
        <v>0</v>
      </c>
      <c r="G35" s="614">
        <v>0</v>
      </c>
      <c r="H35" s="615">
        <v>0</v>
      </c>
      <c r="I35" s="92" t="s">
        <v>290</v>
      </c>
      <c r="J35" s="607">
        <v>0</v>
      </c>
      <c r="K35" s="608">
        <v>0</v>
      </c>
    </row>
    <row r="36" spans="2:18" ht="15.75" thickBot="1" x14ac:dyDescent="0.3">
      <c r="B36" s="12" t="s">
        <v>47</v>
      </c>
      <c r="C36" s="13" t="s">
        <v>48</v>
      </c>
      <c r="D36" s="3" t="s">
        <v>134</v>
      </c>
      <c r="E36" s="612">
        <v>0</v>
      </c>
      <c r="F36" s="613">
        <v>0</v>
      </c>
      <c r="G36" s="614">
        <v>0</v>
      </c>
      <c r="H36" s="615">
        <v>0</v>
      </c>
      <c r="I36" s="92" t="s">
        <v>290</v>
      </c>
      <c r="J36" s="607">
        <v>0</v>
      </c>
      <c r="K36" s="608">
        <v>0</v>
      </c>
    </row>
    <row r="37" spans="2:18" x14ac:dyDescent="0.25">
      <c r="B37" s="9" t="s">
        <v>49</v>
      </c>
      <c r="C37" s="10" t="s">
        <v>50</v>
      </c>
      <c r="D37" s="11" t="s">
        <v>134</v>
      </c>
      <c r="E37" s="616">
        <v>0</v>
      </c>
      <c r="F37" s="617">
        <v>0</v>
      </c>
      <c r="G37" s="616">
        <v>0</v>
      </c>
      <c r="H37" s="618">
        <v>0</v>
      </c>
      <c r="I37" s="340" t="s">
        <v>253</v>
      </c>
      <c r="J37" s="510" t="s">
        <v>253</v>
      </c>
      <c r="K37" s="510" t="s">
        <v>253</v>
      </c>
      <c r="M37" s="182"/>
      <c r="N37" s="182"/>
      <c r="O37" s="182"/>
      <c r="P37" s="182"/>
      <c r="Q37" s="182"/>
      <c r="R37" s="182"/>
    </row>
    <row r="38" spans="2:18" ht="15.75" thickBot="1" x14ac:dyDescent="0.3">
      <c r="B38" s="9" t="s">
        <v>51</v>
      </c>
      <c r="C38" s="10" t="s">
        <v>52</v>
      </c>
      <c r="D38" s="11" t="s">
        <v>134</v>
      </c>
      <c r="E38" s="604">
        <v>0</v>
      </c>
      <c r="F38" s="619">
        <v>0</v>
      </c>
      <c r="G38" s="604">
        <v>0</v>
      </c>
      <c r="H38" s="620">
        <v>0</v>
      </c>
      <c r="I38" s="91" t="s">
        <v>253</v>
      </c>
      <c r="J38" s="508" t="s">
        <v>253</v>
      </c>
      <c r="K38" s="508" t="s">
        <v>253</v>
      </c>
      <c r="L38" s="296"/>
      <c r="M38" s="182"/>
      <c r="N38" s="182"/>
      <c r="O38" s="182"/>
      <c r="P38" s="182"/>
      <c r="Q38" s="182"/>
      <c r="R38" s="182"/>
    </row>
    <row r="39" spans="2:18" ht="15.75" thickBot="1" x14ac:dyDescent="0.3">
      <c r="B39" s="9" t="s">
        <v>53</v>
      </c>
      <c r="C39" s="10" t="s">
        <v>54</v>
      </c>
      <c r="D39" s="11" t="s">
        <v>134</v>
      </c>
      <c r="E39" s="612">
        <v>0</v>
      </c>
      <c r="F39" s="613">
        <v>0</v>
      </c>
      <c r="G39" s="614">
        <v>4.8199999999999996E-3</v>
      </c>
      <c r="H39" s="615">
        <v>0</v>
      </c>
      <c r="I39" s="92" t="s">
        <v>290</v>
      </c>
      <c r="J39" s="607">
        <v>0</v>
      </c>
      <c r="K39" s="608">
        <v>0</v>
      </c>
      <c r="L39" s="31"/>
      <c r="M39" s="182"/>
      <c r="N39" s="182"/>
      <c r="O39" s="182"/>
      <c r="P39" s="182"/>
      <c r="Q39" s="182"/>
      <c r="R39" s="182"/>
    </row>
    <row r="40" spans="2:18" ht="15.75" thickBot="1" x14ac:dyDescent="0.3">
      <c r="B40" s="9" t="s">
        <v>55</v>
      </c>
      <c r="C40" s="10" t="s">
        <v>56</v>
      </c>
      <c r="D40" s="11" t="s">
        <v>134</v>
      </c>
      <c r="E40" s="612">
        <v>0</v>
      </c>
      <c r="F40" s="613">
        <v>0</v>
      </c>
      <c r="G40" s="614">
        <v>8.5599999999999999E-3</v>
      </c>
      <c r="H40" s="615">
        <v>0</v>
      </c>
      <c r="I40" s="92" t="s">
        <v>290</v>
      </c>
      <c r="J40" s="607">
        <v>0</v>
      </c>
      <c r="K40" s="608">
        <v>0</v>
      </c>
    </row>
    <row r="41" spans="2:18" x14ac:dyDescent="0.25">
      <c r="B41" s="9" t="s">
        <v>57</v>
      </c>
      <c r="C41" s="10" t="s">
        <v>58</v>
      </c>
      <c r="D41" s="11" t="s">
        <v>134</v>
      </c>
      <c r="E41" s="338">
        <f>SUM(E37:E40)+E33+E28+E25+E22+E17</f>
        <v>0</v>
      </c>
      <c r="F41" s="338">
        <f>SUM(F37:F40)+F33+F28+F25+F22+F17</f>
        <v>0</v>
      </c>
      <c r="G41" s="338">
        <f>SUM(G37:G40)+G33+G28+G25+G22+G17</f>
        <v>0.71132799999999996</v>
      </c>
      <c r="H41" s="339">
        <f>SUM(H37:H40)+H33+H28+H25+H22+H17</f>
        <v>0.43</v>
      </c>
      <c r="I41" s="31"/>
      <c r="J41" s="31"/>
      <c r="K41" s="31"/>
    </row>
    <row r="42" spans="2:18" x14ac:dyDescent="0.25">
      <c r="B42" s="12" t="s">
        <v>64</v>
      </c>
      <c r="C42" s="13" t="s">
        <v>65</v>
      </c>
      <c r="D42" s="3" t="s">
        <v>258</v>
      </c>
      <c r="E42" s="602">
        <v>0</v>
      </c>
      <c r="F42" s="611">
        <v>0</v>
      </c>
      <c r="G42" s="148">
        <v>0</v>
      </c>
      <c r="H42" s="150">
        <v>0</v>
      </c>
    </row>
    <row r="43" spans="2:18" x14ac:dyDescent="0.25">
      <c r="B43" s="12" t="s">
        <v>67</v>
      </c>
      <c r="C43" s="13" t="s">
        <v>68</v>
      </c>
      <c r="D43" s="3" t="s">
        <v>258</v>
      </c>
      <c r="E43" s="602">
        <v>0</v>
      </c>
      <c r="F43" s="611">
        <v>0</v>
      </c>
      <c r="G43" s="148">
        <v>0</v>
      </c>
      <c r="H43" s="150">
        <v>0</v>
      </c>
    </row>
    <row r="44" spans="2:18" x14ac:dyDescent="0.25">
      <c r="B44" s="12" t="s">
        <v>69</v>
      </c>
      <c r="C44" s="13" t="s">
        <v>70</v>
      </c>
      <c r="D44" s="3" t="s">
        <v>258</v>
      </c>
      <c r="E44" s="148">
        <v>0</v>
      </c>
      <c r="F44" s="149">
        <v>0</v>
      </c>
      <c r="G44" s="602">
        <v>1.3407000000000001E-2</v>
      </c>
      <c r="H44" s="610">
        <v>1.4E-2</v>
      </c>
    </row>
    <row r="45" spans="2:18" x14ac:dyDescent="0.25">
      <c r="B45" s="12" t="s">
        <v>71</v>
      </c>
      <c r="C45" s="13" t="s">
        <v>68</v>
      </c>
      <c r="D45" s="3" t="s">
        <v>258</v>
      </c>
      <c r="E45" s="148">
        <v>0</v>
      </c>
      <c r="F45" s="149">
        <v>0</v>
      </c>
      <c r="G45" s="602">
        <v>6.1199999999999996E-3</v>
      </c>
      <c r="H45" s="610">
        <v>7.4190000000000002E-3</v>
      </c>
      <c r="J45" s="31"/>
      <c r="K45" s="31"/>
      <c r="L45" s="31"/>
      <c r="M45" s="31"/>
      <c r="N45" s="31"/>
    </row>
    <row r="46" spans="2:18" x14ac:dyDescent="0.25">
      <c r="B46" s="12" t="s">
        <v>72</v>
      </c>
      <c r="C46" s="13" t="s">
        <v>73</v>
      </c>
      <c r="D46" s="3" t="s">
        <v>258</v>
      </c>
      <c r="E46" s="148">
        <v>0</v>
      </c>
      <c r="F46" s="149">
        <v>0</v>
      </c>
      <c r="G46" s="602">
        <v>0</v>
      </c>
      <c r="H46" s="610">
        <v>0</v>
      </c>
    </row>
    <row r="47" spans="2:18" x14ac:dyDescent="0.25">
      <c r="B47" s="12" t="s">
        <v>74</v>
      </c>
      <c r="C47" s="13" t="s">
        <v>75</v>
      </c>
      <c r="D47" s="3" t="s">
        <v>258</v>
      </c>
      <c r="E47" s="148">
        <v>0</v>
      </c>
      <c r="F47" s="149">
        <v>0</v>
      </c>
      <c r="G47" s="602">
        <v>0</v>
      </c>
      <c r="H47" s="610">
        <v>0</v>
      </c>
    </row>
    <row r="48" spans="2:18" x14ac:dyDescent="0.25">
      <c r="B48" s="12" t="s">
        <v>76</v>
      </c>
      <c r="C48" s="13" t="s">
        <v>77</v>
      </c>
      <c r="D48" s="3" t="s">
        <v>258</v>
      </c>
      <c r="E48" s="602">
        <v>0</v>
      </c>
      <c r="F48" s="611">
        <v>0</v>
      </c>
      <c r="G48" s="602">
        <v>0</v>
      </c>
      <c r="H48" s="610">
        <v>0</v>
      </c>
    </row>
    <row r="49" spans="2:11" x14ac:dyDescent="0.25">
      <c r="B49" s="12" t="s">
        <v>78</v>
      </c>
      <c r="C49" s="13" t="s">
        <v>79</v>
      </c>
      <c r="D49" s="3" t="s">
        <v>258</v>
      </c>
      <c r="E49" s="602">
        <v>0</v>
      </c>
      <c r="F49" s="611">
        <v>0</v>
      </c>
      <c r="G49" s="602">
        <v>1.3407000000000001E-2</v>
      </c>
      <c r="H49" s="610">
        <v>1.4E-2</v>
      </c>
    </row>
    <row r="50" spans="2:11" x14ac:dyDescent="0.25">
      <c r="B50" s="1"/>
      <c r="C50" s="1"/>
      <c r="D50" s="1"/>
      <c r="E50" s="1"/>
      <c r="F50" s="1"/>
      <c r="H50" s="1"/>
    </row>
    <row r="51" spans="2:11" x14ac:dyDescent="0.25">
      <c r="B51" s="2"/>
      <c r="C51" s="721" t="s">
        <v>80</v>
      </c>
      <c r="D51" s="722"/>
      <c r="E51" s="723"/>
      <c r="F51" s="724"/>
      <c r="G51" s="722"/>
      <c r="H51" s="725"/>
    </row>
    <row r="52" spans="2:11" x14ac:dyDescent="0.25">
      <c r="B52" s="4"/>
      <c r="C52" s="5" t="s">
        <v>81</v>
      </c>
      <c r="D52" s="744" t="s">
        <v>213</v>
      </c>
      <c r="E52" s="751" t="s">
        <v>118</v>
      </c>
      <c r="F52" s="760"/>
      <c r="G52" s="26" t="s">
        <v>3</v>
      </c>
      <c r="H52" s="23" t="s">
        <v>4</v>
      </c>
    </row>
    <row r="53" spans="2:11" x14ac:dyDescent="0.25">
      <c r="B53" s="8" t="s">
        <v>5</v>
      </c>
      <c r="C53" s="8"/>
      <c r="D53" s="746"/>
      <c r="E53" s="752"/>
      <c r="F53" s="761"/>
      <c r="G53" s="27" t="s">
        <v>7</v>
      </c>
      <c r="H53" s="24" t="s">
        <v>7</v>
      </c>
    </row>
    <row r="54" spans="2:11" x14ac:dyDescent="0.25">
      <c r="B54" s="11">
        <v>1</v>
      </c>
      <c r="C54" s="11">
        <v>2</v>
      </c>
      <c r="D54" s="11" t="s">
        <v>111</v>
      </c>
      <c r="E54" s="735" t="s">
        <v>115</v>
      </c>
      <c r="F54" s="736"/>
      <c r="G54" s="11" t="s">
        <v>116</v>
      </c>
      <c r="H54" s="22" t="s">
        <v>117</v>
      </c>
    </row>
    <row r="55" spans="2:11" x14ac:dyDescent="0.25">
      <c r="B55" s="12" t="s">
        <v>82</v>
      </c>
      <c r="C55" s="13" t="s">
        <v>127</v>
      </c>
      <c r="D55" s="13" t="s">
        <v>83</v>
      </c>
      <c r="E55" s="732" t="s">
        <v>120</v>
      </c>
      <c r="F55" s="733"/>
      <c r="G55" s="171">
        <f>IF(F42=0,0,F41/F42)</f>
        <v>0</v>
      </c>
      <c r="H55" s="172">
        <f>IF((H44+H46)=0,0,H41/(H44+H46))</f>
        <v>30.714285714285712</v>
      </c>
      <c r="I55" s="31"/>
    </row>
    <row r="56" spans="2:11" x14ac:dyDescent="0.25">
      <c r="B56" s="12" t="s">
        <v>84</v>
      </c>
      <c r="C56" s="13" t="s">
        <v>85</v>
      </c>
      <c r="D56" s="13" t="s">
        <v>134</v>
      </c>
      <c r="E56" s="732" t="s">
        <v>121</v>
      </c>
      <c r="F56" s="733"/>
      <c r="G56" s="151">
        <f>F41</f>
        <v>0</v>
      </c>
      <c r="H56" s="152">
        <f>H41</f>
        <v>0.43</v>
      </c>
      <c r="I56" s="31"/>
    </row>
    <row r="57" spans="2:11" x14ac:dyDescent="0.25">
      <c r="B57" s="12" t="s">
        <v>86</v>
      </c>
      <c r="C57" s="13" t="s">
        <v>87</v>
      </c>
      <c r="D57" s="13" t="s">
        <v>134</v>
      </c>
      <c r="E57" s="732"/>
      <c r="F57" s="733"/>
      <c r="G57" s="151">
        <f>P29/1000</f>
        <v>0</v>
      </c>
      <c r="H57" s="152">
        <f ca="1">Q29/1000</f>
        <v>7.758654207907981E-3</v>
      </c>
      <c r="I57" s="31"/>
    </row>
    <row r="58" spans="2:11" x14ac:dyDescent="0.25">
      <c r="B58" s="12" t="s">
        <v>88</v>
      </c>
      <c r="C58" s="21" t="s">
        <v>89</v>
      </c>
      <c r="D58" s="13" t="s">
        <v>90</v>
      </c>
      <c r="E58" s="732" t="s">
        <v>123</v>
      </c>
      <c r="F58" s="733"/>
      <c r="G58" s="172">
        <f>IF(G56=0,0,G57/G56*100)</f>
        <v>0</v>
      </c>
      <c r="H58" s="172">
        <f ca="1">IF(H56=0,0,H57/H56*100)</f>
        <v>1.8043381878855771</v>
      </c>
      <c r="I58" s="31"/>
    </row>
    <row r="59" spans="2:11" x14ac:dyDescent="0.25">
      <c r="B59" s="12" t="s">
        <v>91</v>
      </c>
      <c r="C59" s="21" t="s">
        <v>92</v>
      </c>
      <c r="D59" s="13" t="s">
        <v>134</v>
      </c>
      <c r="E59" s="732"/>
      <c r="F59" s="733"/>
      <c r="G59" s="149">
        <v>0</v>
      </c>
      <c r="H59" s="150">
        <v>0</v>
      </c>
      <c r="I59" s="714" t="s">
        <v>309</v>
      </c>
      <c r="J59" s="714"/>
      <c r="K59" s="714"/>
    </row>
    <row r="60" spans="2:11" ht="29.25" customHeight="1" x14ac:dyDescent="0.25">
      <c r="B60" s="12" t="s">
        <v>93</v>
      </c>
      <c r="C60" s="13" t="s">
        <v>94</v>
      </c>
      <c r="D60" s="13" t="s">
        <v>10</v>
      </c>
      <c r="E60" s="732" t="s">
        <v>122</v>
      </c>
      <c r="F60" s="733"/>
      <c r="G60" s="152">
        <f>G56+G57</f>
        <v>0</v>
      </c>
      <c r="H60" s="152">
        <f ca="1">H56+H57</f>
        <v>0.43775865420790799</v>
      </c>
      <c r="I60" s="756" t="s">
        <v>272</v>
      </c>
      <c r="J60" s="758" t="s">
        <v>135</v>
      </c>
      <c r="K60" s="758" t="s">
        <v>136</v>
      </c>
    </row>
    <row r="61" spans="2:11" ht="15" customHeight="1" x14ac:dyDescent="0.25">
      <c r="B61" s="12" t="s">
        <v>95</v>
      </c>
      <c r="C61" s="13" t="s">
        <v>96</v>
      </c>
      <c r="D61" s="13" t="s">
        <v>258</v>
      </c>
      <c r="E61" s="732" t="s">
        <v>124</v>
      </c>
      <c r="F61" s="733"/>
      <c r="G61" s="151">
        <f>F42</f>
        <v>0</v>
      </c>
      <c r="H61" s="151">
        <f>H44+H46</f>
        <v>1.4E-2</v>
      </c>
      <c r="I61" s="757"/>
      <c r="J61" s="759"/>
      <c r="K61" s="759"/>
    </row>
    <row r="62" spans="2:11" ht="15" customHeight="1" x14ac:dyDescent="0.25">
      <c r="B62" s="12" t="s">
        <v>97</v>
      </c>
      <c r="C62" s="13" t="s">
        <v>98</v>
      </c>
      <c r="D62" s="13" t="s">
        <v>83</v>
      </c>
      <c r="E62" s="732" t="s">
        <v>125</v>
      </c>
      <c r="F62" s="733"/>
      <c r="G62" s="166">
        <f>IF(G61=0,0,G60/G61)</f>
        <v>0</v>
      </c>
      <c r="H62" s="166">
        <f ca="1">IF(H61=0,0,H60/H61)</f>
        <v>31.268475300564855</v>
      </c>
      <c r="I62" s="293" t="s">
        <v>290</v>
      </c>
      <c r="J62" s="511">
        <f>J21+SUM(J24:J40)</f>
        <v>0</v>
      </c>
      <c r="K62" s="511">
        <f>K21+SUM(K24:K40)</f>
        <v>0</v>
      </c>
    </row>
    <row r="63" spans="2:11" x14ac:dyDescent="0.25">
      <c r="B63" s="12" t="s">
        <v>99</v>
      </c>
      <c r="C63" s="13" t="s">
        <v>283</v>
      </c>
      <c r="D63" s="13" t="s">
        <v>83</v>
      </c>
      <c r="E63" s="732" t="s">
        <v>126</v>
      </c>
      <c r="F63" s="733"/>
      <c r="G63" s="166">
        <f>G62*(1+G65)</f>
        <v>0</v>
      </c>
      <c r="H63" s="167">
        <f ca="1">H62*(1+H65)</f>
        <v>35.958746595649579</v>
      </c>
    </row>
    <row r="64" spans="2:11" x14ac:dyDescent="0.25">
      <c r="B64" s="53"/>
      <c r="C64" s="53"/>
      <c r="D64" s="53"/>
      <c r="E64" s="53"/>
      <c r="F64" s="53"/>
      <c r="G64" s="53"/>
      <c r="H64" s="53"/>
    </row>
    <row r="65" spans="1:14" x14ac:dyDescent="0.25">
      <c r="A65" s="342"/>
      <c r="B65" s="762" t="s">
        <v>282</v>
      </c>
      <c r="C65" s="762"/>
      <c r="D65" s="762"/>
      <c r="E65" s="762"/>
      <c r="F65" s="762"/>
      <c r="G65" s="625">
        <v>0.15</v>
      </c>
      <c r="H65" s="625">
        <v>0.15</v>
      </c>
      <c r="I65" s="342"/>
      <c r="J65" s="342"/>
      <c r="K65" s="342"/>
      <c r="L65" s="342"/>
      <c r="M65" s="342"/>
      <c r="N65" s="342"/>
    </row>
    <row r="66" spans="1:14" x14ac:dyDescent="0.25">
      <c r="A66" s="342"/>
      <c r="B66" s="53"/>
      <c r="C66" s="343"/>
      <c r="D66" s="53"/>
      <c r="E66" s="53"/>
      <c r="F66" s="53"/>
      <c r="G66" s="344"/>
      <c r="H66" s="344"/>
      <c r="I66" s="342"/>
      <c r="J66" s="342"/>
      <c r="K66" s="342"/>
      <c r="L66" s="342"/>
      <c r="M66" s="342"/>
      <c r="N66" s="342"/>
    </row>
    <row r="67" spans="1:14" x14ac:dyDescent="0.25">
      <c r="A67" s="342"/>
      <c r="B67" s="755"/>
      <c r="C67" s="755"/>
      <c r="D67" s="755"/>
      <c r="E67" s="755"/>
      <c r="F67" s="755"/>
      <c r="G67" s="184"/>
      <c r="H67" s="184"/>
      <c r="I67" s="342"/>
      <c r="J67" s="342"/>
      <c r="K67" s="342"/>
      <c r="L67" s="342"/>
      <c r="M67" s="342"/>
      <c r="N67" s="342"/>
    </row>
    <row r="68" spans="1:14" x14ac:dyDescent="0.25">
      <c r="A68" s="342"/>
      <c r="B68" s="53"/>
      <c r="C68" s="53"/>
      <c r="D68" s="53"/>
      <c r="E68" s="53"/>
      <c r="F68" s="53"/>
      <c r="G68" s="53"/>
      <c r="H68" s="53"/>
      <c r="I68" s="342"/>
      <c r="J68" s="342"/>
      <c r="K68" s="342"/>
      <c r="L68" s="342"/>
      <c r="M68" s="342"/>
      <c r="N68" s="342"/>
    </row>
    <row r="69" spans="1:14" x14ac:dyDescent="0.25">
      <c r="A69" s="342"/>
      <c r="B69" s="53"/>
      <c r="C69" s="53"/>
      <c r="D69" s="53"/>
      <c r="E69" s="53"/>
      <c r="F69" s="53"/>
      <c r="G69" s="53"/>
      <c r="H69" s="53"/>
      <c r="I69" s="342"/>
      <c r="J69" s="342"/>
      <c r="K69" s="342"/>
      <c r="L69" s="342"/>
      <c r="M69" s="342"/>
      <c r="N69" s="342"/>
    </row>
    <row r="70" spans="1:14" x14ac:dyDescent="0.25">
      <c r="A70" s="342"/>
      <c r="B70" s="53"/>
      <c r="C70" s="274"/>
      <c r="D70" s="274"/>
      <c r="E70" s="274"/>
      <c r="F70" s="274"/>
      <c r="G70" s="274"/>
      <c r="H70" s="274"/>
      <c r="I70" s="342"/>
      <c r="J70" s="342"/>
      <c r="K70" s="342"/>
      <c r="L70" s="342"/>
      <c r="M70" s="342"/>
      <c r="N70" s="342"/>
    </row>
    <row r="71" spans="1:14" x14ac:dyDescent="0.25">
      <c r="A71" s="342"/>
      <c r="B71" s="53"/>
      <c r="C71" s="274"/>
      <c r="D71" s="274"/>
      <c r="E71" s="274"/>
      <c r="F71" s="274"/>
      <c r="G71" s="274"/>
      <c r="H71" s="274"/>
      <c r="I71" s="342"/>
      <c r="J71" s="342"/>
      <c r="K71" s="342"/>
      <c r="L71" s="342"/>
      <c r="M71" s="342"/>
      <c r="N71" s="342"/>
    </row>
    <row r="72" spans="1:14" x14ac:dyDescent="0.25">
      <c r="A72" s="342"/>
      <c r="B72" s="53"/>
      <c r="C72" s="274"/>
      <c r="D72" s="274"/>
      <c r="E72" s="274"/>
      <c r="F72" s="274"/>
      <c r="G72" s="274"/>
      <c r="H72" s="274"/>
      <c r="I72" s="342"/>
      <c r="J72" s="342"/>
      <c r="K72" s="342"/>
      <c r="L72" s="342"/>
      <c r="M72" s="342"/>
      <c r="N72" s="342"/>
    </row>
    <row r="73" spans="1:14" x14ac:dyDescent="0.25">
      <c r="B73" s="331" t="s">
        <v>310</v>
      </c>
      <c r="C73" s="69"/>
      <c r="D73" s="69"/>
      <c r="E73" s="69"/>
      <c r="F73" s="69"/>
      <c r="G73" s="69"/>
      <c r="H73" s="69"/>
      <c r="I73" s="69"/>
      <c r="J73" s="342"/>
      <c r="K73" s="342"/>
    </row>
    <row r="74" spans="1:14" x14ac:dyDescent="0.25">
      <c r="B74" s="515" t="s">
        <v>157</v>
      </c>
      <c r="C74" s="516"/>
      <c r="D74" s="516"/>
      <c r="E74" s="516"/>
      <c r="F74" s="516"/>
      <c r="G74" s="516"/>
      <c r="H74" s="516"/>
      <c r="I74" s="517"/>
      <c r="J74" s="342"/>
      <c r="K74" s="342"/>
    </row>
    <row r="75" spans="1:14" x14ac:dyDescent="0.25">
      <c r="B75" s="518" t="s">
        <v>265</v>
      </c>
      <c r="C75" s="519"/>
      <c r="D75" s="519"/>
      <c r="E75" s="519"/>
      <c r="F75" s="519"/>
      <c r="G75" s="519"/>
      <c r="H75" s="519"/>
      <c r="I75" s="520"/>
      <c r="J75" s="342"/>
      <c r="K75" s="342"/>
    </row>
    <row r="76" spans="1:14" x14ac:dyDescent="0.25">
      <c r="B76" s="303" t="s">
        <v>226</v>
      </c>
      <c r="C76" s="304"/>
      <c r="D76" s="304"/>
      <c r="E76" s="304"/>
      <c r="F76" s="304"/>
      <c r="G76" s="304"/>
      <c r="H76" s="304"/>
      <c r="I76" s="305"/>
      <c r="J76" s="342"/>
      <c r="K76" s="342"/>
    </row>
    <row r="77" spans="1:14" x14ac:dyDescent="0.25">
      <c r="B77" s="521" t="s">
        <v>180</v>
      </c>
      <c r="C77" s="522"/>
      <c r="D77" s="522"/>
      <c r="E77" s="522"/>
      <c r="F77" s="522"/>
      <c r="G77" s="522"/>
      <c r="H77" s="522"/>
      <c r="I77" s="523"/>
      <c r="J77" s="342"/>
      <c r="K77" s="342"/>
    </row>
    <row r="78" spans="1:14" x14ac:dyDescent="0.25">
      <c r="B78" s="306" t="s">
        <v>175</v>
      </c>
      <c r="C78" s="307"/>
      <c r="D78" s="307"/>
      <c r="E78" s="307"/>
      <c r="F78" s="307"/>
      <c r="G78" s="307"/>
      <c r="H78" s="307"/>
      <c r="I78" s="308"/>
      <c r="J78" s="342"/>
      <c r="K78" s="342"/>
    </row>
    <row r="79" spans="1:14" x14ac:dyDescent="0.25">
      <c r="B79" s="309" t="s">
        <v>211</v>
      </c>
      <c r="C79" s="310"/>
      <c r="D79" s="310"/>
      <c r="E79" s="310"/>
      <c r="F79" s="310"/>
      <c r="G79" s="310"/>
      <c r="H79" s="310"/>
      <c r="I79" s="311"/>
      <c r="J79" s="342"/>
      <c r="K79" s="342"/>
    </row>
    <row r="80" spans="1:14" x14ac:dyDescent="0.25">
      <c r="B80" s="53"/>
      <c r="C80" s="274"/>
      <c r="D80" s="274"/>
      <c r="E80" s="274"/>
      <c r="F80" s="274"/>
      <c r="G80" s="274"/>
      <c r="H80" s="274"/>
      <c r="I80" s="342"/>
      <c r="J80" s="342"/>
      <c r="K80" s="342"/>
    </row>
    <row r="81" spans="2:11" x14ac:dyDescent="0.25">
      <c r="B81" s="53"/>
      <c r="C81" s="274"/>
      <c r="D81" s="274"/>
      <c r="E81" s="274"/>
      <c r="F81" s="274"/>
      <c r="G81" s="274"/>
      <c r="H81" s="274"/>
      <c r="I81" s="342"/>
      <c r="J81" s="342"/>
      <c r="K81" s="342"/>
    </row>
    <row r="82" spans="2:11" x14ac:dyDescent="0.25">
      <c r="B82" s="53"/>
      <c r="C82" s="274"/>
      <c r="D82" s="274"/>
      <c r="E82" s="274"/>
      <c r="F82" s="274"/>
      <c r="G82" s="274"/>
      <c r="H82" s="274"/>
      <c r="I82" s="342"/>
      <c r="J82" s="342"/>
      <c r="K82" s="342"/>
    </row>
  </sheetData>
  <sheetProtection password="B65E" sheet="1" objects="1" scenarios="1"/>
  <mergeCells count="63">
    <mergeCell ref="Q21:Q22"/>
    <mergeCell ref="Q25:Q26"/>
    <mergeCell ref="N14:N15"/>
    <mergeCell ref="O14:O15"/>
    <mergeCell ref="P14:P15"/>
    <mergeCell ref="M25:N26"/>
    <mergeCell ref="M21:M22"/>
    <mergeCell ref="N21:N22"/>
    <mergeCell ref="O21:O22"/>
    <mergeCell ref="P21:P22"/>
    <mergeCell ref="O25:O26"/>
    <mergeCell ref="P25:P26"/>
    <mergeCell ref="M18:M19"/>
    <mergeCell ref="N18:N19"/>
    <mergeCell ref="O18:O19"/>
    <mergeCell ref="B67:F67"/>
    <mergeCell ref="I60:I61"/>
    <mergeCell ref="J60:J61"/>
    <mergeCell ref="K60:K61"/>
    <mergeCell ref="E52:F53"/>
    <mergeCell ref="D52:D53"/>
    <mergeCell ref="B65:F65"/>
    <mergeCell ref="I59:K59"/>
    <mergeCell ref="Q8:Q9"/>
    <mergeCell ref="Q14:Q15"/>
    <mergeCell ref="N8:N9"/>
    <mergeCell ref="M8:M9"/>
    <mergeCell ref="O8:O9"/>
    <mergeCell ref="P8:P9"/>
    <mergeCell ref="M10:M13"/>
    <mergeCell ref="N10:N11"/>
    <mergeCell ref="O10:O11"/>
    <mergeCell ref="P10:P11"/>
    <mergeCell ref="Q10:Q11"/>
    <mergeCell ref="O12:O13"/>
    <mergeCell ref="M14:M17"/>
    <mergeCell ref="N16:N17"/>
    <mergeCell ref="O16:O17"/>
    <mergeCell ref="N12:N13"/>
    <mergeCell ref="B2:H2"/>
    <mergeCell ref="M27:N28"/>
    <mergeCell ref="E62:F62"/>
    <mergeCell ref="E63:F63"/>
    <mergeCell ref="E56:F56"/>
    <mergeCell ref="E57:F57"/>
    <mergeCell ref="E58:F58"/>
    <mergeCell ref="E60:F60"/>
    <mergeCell ref="E59:F59"/>
    <mergeCell ref="M2:Q3"/>
    <mergeCell ref="E61:F61"/>
    <mergeCell ref="D10:H10"/>
    <mergeCell ref="E54:F54"/>
    <mergeCell ref="E55:F55"/>
    <mergeCell ref="D5:H5"/>
    <mergeCell ref="D6:H6"/>
    <mergeCell ref="I18:K18"/>
    <mergeCell ref="D7:H7"/>
    <mergeCell ref="D8:H8"/>
    <mergeCell ref="D9:H9"/>
    <mergeCell ref="C51:H51"/>
    <mergeCell ref="C12:H12"/>
    <mergeCell ref="E13:F13"/>
    <mergeCell ref="G13:H13"/>
  </mergeCells>
  <conditionalFormatting sqref="L38">
    <cfRule type="expression" dxfId="660" priority="67">
      <formula>OR($F$38&gt;0,$H$38&gt;0)</formula>
    </cfRule>
  </conditionalFormatting>
  <conditionalFormatting sqref="J21 J24 J26">
    <cfRule type="expression" dxfId="659" priority="84">
      <formula>$G$65=0</formula>
    </cfRule>
  </conditionalFormatting>
  <conditionalFormatting sqref="K21 K24 K26">
    <cfRule type="expression" dxfId="658" priority="85">
      <formula>$H$65=0</formula>
    </cfRule>
  </conditionalFormatting>
  <conditionalFormatting sqref="I65">
    <cfRule type="expression" dxfId="657" priority="43">
      <formula>OR($G$65&lt;0,$H$65&lt;0)</formula>
    </cfRule>
  </conditionalFormatting>
  <conditionalFormatting sqref="J27">
    <cfRule type="expression" dxfId="656" priority="41">
      <formula>$G$65=0</formula>
    </cfRule>
  </conditionalFormatting>
  <conditionalFormatting sqref="K27">
    <cfRule type="expression" dxfId="655" priority="42">
      <formula>$H$65=0</formula>
    </cfRule>
  </conditionalFormatting>
  <conditionalFormatting sqref="J35:J36">
    <cfRule type="expression" dxfId="654" priority="33">
      <formula>$G$65=0</formula>
    </cfRule>
  </conditionalFormatting>
  <conditionalFormatting sqref="K35:K36">
    <cfRule type="expression" dxfId="653" priority="34">
      <formula>$H$65=0</formula>
    </cfRule>
  </conditionalFormatting>
  <conditionalFormatting sqref="J39:J40">
    <cfRule type="expression" dxfId="652" priority="29">
      <formula>$G$65=0</formula>
    </cfRule>
  </conditionalFormatting>
  <conditionalFormatting sqref="K39:K40">
    <cfRule type="expression" dxfId="651" priority="30">
      <formula>$H$65=0</formula>
    </cfRule>
  </conditionalFormatting>
  <conditionalFormatting sqref="J60">
    <cfRule type="expression" dxfId="650" priority="19">
      <formula>$G$65=0</formula>
    </cfRule>
  </conditionalFormatting>
  <dataValidations count="3">
    <dataValidation type="decimal" operator="lessThanOrEqual" allowBlank="1" showInputMessage="1" showErrorMessage="1" error="Je třeba uvést v záporné hodnotě." sqref="H38 E38:F38" xr:uid="{00000000-0002-0000-0200-000000000000}">
      <formula1>0</formula1>
    </dataValidation>
    <dataValidation type="decimal" operator="lessThanOrEqual" allowBlank="1" showInputMessage="1" showErrorMessage="1" error="Je třeba uvést v záporné hodnotě._x000a_" sqref="G38" xr:uid="{00000000-0002-0000-0200-000002000000}">
      <formula1>0</formula1>
    </dataValidation>
    <dataValidation type="decimal" allowBlank="1" showInputMessage="1" showErrorMessage="1" error="Je třeba zadat hodnotu v rozmezí 0% až 100%." sqref="P28:Q28" xr:uid="{00000000-0002-0000-0200-000003000000}">
      <formula1>0</formula1>
      <formula2>1</formula2>
    </dataValidation>
  </dataValidations>
  <pageMargins left="0.7" right="0.7" top="0.78740157499999996" bottom="0.78740157499999996" header="0.3" footer="0.3"/>
  <pageSetup paperSize="9" scale="72" orientation="portrait" horizontalDpi="4294967293" verticalDpi="4294967293" r:id="rId1"/>
  <colBreaks count="1" manualBreakCount="1">
    <brk id="11" max="1048575" man="1"/>
  </colBreaks>
  <ignoredErrors>
    <ignoredError sqref="E17:H17 E22:H22 E25:H25 E28:H28 E41:H41 E33:H3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6" id="{10924C83-D04D-4F88-957F-08D6995420A9}">
            <xm:f>Postup!$K$21="2"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E37 E13:F36 E38:F49</xm:sqref>
        </x14:conditionalFormatting>
        <x14:conditionalFormatting xmlns:xm="http://schemas.microsoft.com/office/excel/2006/main">
          <x14:cfRule type="expression" priority="60" id="{A91A4ADC-137E-4689-8BF8-00C631EAB1E9}">
            <xm:f>Postup!$K$21="1"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G37 G13:H36 G38:H49</xm:sqref>
        </x14:conditionalFormatting>
        <x14:conditionalFormatting xmlns:xm="http://schemas.microsoft.com/office/excel/2006/main">
          <x14:cfRule type="expression" priority="82" id="{F53AA26D-876C-4B7B-B059-76CA730DE25C}">
            <xm:f>Postup!$K$21="2"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P5:P29</xm:sqref>
        </x14:conditionalFormatting>
        <x14:conditionalFormatting xmlns:xm="http://schemas.microsoft.com/office/excel/2006/main">
          <x14:cfRule type="expression" priority="61" id="{88B0A4DB-1B04-4ABB-AD07-E706EA80E076}">
            <xm:f>Postup!$K$21="1"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Q5:Q29</xm:sqref>
        </x14:conditionalFormatting>
        <x14:conditionalFormatting xmlns:xm="http://schemas.microsoft.com/office/excel/2006/main">
          <x14:cfRule type="expression" priority="81" id="{3E6C9311-DF1D-43EC-96E3-E55AB4865F93}">
            <xm:f>Postup!$K$21="2"</xm:f>
            <x14:dxf>
              <fill>
                <patternFill>
                  <bgColor theme="0" tint="-0.24994659260841701"/>
                </patternFill>
              </fill>
            </x14:dxf>
          </x14:cfRule>
          <xm:sqref>G52:G63</xm:sqref>
        </x14:conditionalFormatting>
        <x14:conditionalFormatting xmlns:xm="http://schemas.microsoft.com/office/excel/2006/main">
          <x14:cfRule type="expression" priority="80" id="{9B043EBE-91C4-4C0D-B7EB-815240648CBB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H52:H63</xm:sqref>
        </x14:conditionalFormatting>
        <x14:conditionalFormatting xmlns:xm="http://schemas.microsoft.com/office/excel/2006/main">
          <x14:cfRule type="expression" priority="83" id="{1953836D-2A1C-448B-BC0F-B01426261C18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95" id="{AEDFE130-78F7-433F-995C-11277AC0F7D1}">
            <xm:f>Postup!$O$45="Ano"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14:cfRule type="expression" priority="96" id="{8FC40650-076E-467E-9068-C2AD041AC3E6}">
            <xm:f>Postup!$O$44="Ano"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P6:Q6</xm:sqref>
        </x14:conditionalFormatting>
        <x14:conditionalFormatting xmlns:xm="http://schemas.microsoft.com/office/excel/2006/main">
          <x14:cfRule type="expression" priority="54" id="{A9D2BC97-1D64-44D1-9835-1D43312AFF9C}">
            <xm:f>Postup!$K$21="1"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K21 K24 K26</xm:sqref>
        </x14:conditionalFormatting>
        <x14:conditionalFormatting xmlns:xm="http://schemas.microsoft.com/office/excel/2006/main">
          <x14:cfRule type="expression" priority="45" id="{7D6B20C7-3084-4B91-A91D-41C3B0E5B78A}">
            <xm:f>Postup!$K$21="2"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J21 J24 J26</xm:sqref>
        </x14:conditionalFormatting>
        <x14:conditionalFormatting xmlns:xm="http://schemas.microsoft.com/office/excel/2006/main">
          <x14:cfRule type="expression" priority="40" id="{143FE56E-1103-45B4-97EE-5C09492490DD}">
            <xm:f>Postup!$K$21="1"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expression" priority="39" id="{EB151D32-ECF3-4F65-84E2-11441EF994CF}">
            <xm:f>Postup!$K$21="2"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expression" priority="32" id="{6EA97CAC-3DA5-42D2-8E9C-EF37B9BD5F40}">
            <xm:f>Postup!$K$21="1"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K35:K36</xm:sqref>
        </x14:conditionalFormatting>
        <x14:conditionalFormatting xmlns:xm="http://schemas.microsoft.com/office/excel/2006/main">
          <x14:cfRule type="expression" priority="31" id="{85DB1C16-5F11-445B-B8E7-55947F91428D}">
            <xm:f>Postup!$K$21="2"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J35:J36</xm:sqref>
        </x14:conditionalFormatting>
        <x14:conditionalFormatting xmlns:xm="http://schemas.microsoft.com/office/excel/2006/main">
          <x14:cfRule type="expression" priority="28" id="{CCA854C6-59E0-404D-B4EC-429B1C47B5E0}">
            <xm:f>Postup!$K$21="1"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K39:K40</xm:sqref>
        </x14:conditionalFormatting>
        <x14:conditionalFormatting xmlns:xm="http://schemas.microsoft.com/office/excel/2006/main">
          <x14:cfRule type="expression" priority="27" id="{888AC08D-015D-4C41-A234-F4A0F1FD2600}">
            <xm:f>Postup!$K$21="2"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J39:J40</xm:sqref>
        </x14:conditionalFormatting>
        <x14:conditionalFormatting xmlns:xm="http://schemas.microsoft.com/office/excel/2006/main">
          <x14:cfRule type="expression" priority="26" id="{EFFC6A74-6C7D-4634-B129-2FF2E7B3A6E7}">
            <xm:f>Postup!$K$21="2"</xm:f>
            <x14:dxf>
              <fill>
                <patternFill>
                  <bgColor theme="0" tint="-0.24994659260841701"/>
                </patternFill>
              </fill>
            </x14:dxf>
          </x14:cfRule>
          <xm:sqref>G65</xm:sqref>
        </x14:conditionalFormatting>
        <x14:conditionalFormatting xmlns:xm="http://schemas.microsoft.com/office/excel/2006/main">
          <x14:cfRule type="expression" priority="25" id="{3DF0EDA6-47CD-4566-A30C-E5DA7FBF02A3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H65</xm:sqref>
        </x14:conditionalFormatting>
        <x14:conditionalFormatting xmlns:xm="http://schemas.microsoft.com/office/excel/2006/main">
          <x14:cfRule type="expression" priority="24" id="{A822DF12-A13D-43AD-BDDF-4FAAC245F805}">
            <xm:f>Postup!$K$21="2"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23" id="{9F45AC1A-78F2-42A5-A823-063201359ED9}">
            <xm:f>Postup!$K$21="1"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expression" priority="18" id="{762E9698-E76C-4DF9-9526-92655B16F47E}">
            <xm:f>Postup!$K$21="1"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K60:K62</xm:sqref>
        </x14:conditionalFormatting>
        <x14:conditionalFormatting xmlns:xm="http://schemas.microsoft.com/office/excel/2006/main">
          <x14:cfRule type="expression" priority="17" id="{19AE7A59-B260-4CFD-89F4-8F70C63CF439}">
            <xm:f>Postup!$K$21="2"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m:sqref>J60</xm:sqref>
        </x14:conditionalFormatting>
        <x14:conditionalFormatting xmlns:xm="http://schemas.microsoft.com/office/excel/2006/main">
          <x14:cfRule type="expression" priority="16" id="{4C1246A1-FED0-492D-AFA4-234BB8B1EE21}">
            <xm:f>Postup!$K$21="2"</xm:f>
            <x14:dxf>
              <fill>
                <patternFill>
                  <bgColor theme="0" tint="-0.24994659260841701"/>
                </patternFill>
              </fill>
            </x14:dxf>
          </x14:cfRule>
          <xm:sqref>J62</xm:sqref>
        </x14:conditionalFormatting>
        <x14:conditionalFormatting xmlns:xm="http://schemas.microsoft.com/office/excel/2006/main">
          <x14:cfRule type="expression" priority="2" id="{346668FA-4646-425C-8088-6420BECE41F5}">
            <xm:f>OR(Postup!$K$18="0",Postup!$K$21="0")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D8:H10 P5:Q29 G52:H63 J60:K62 G65:H65 J26:K27 J35:K36 J39:K40 J20:K21 J23:K24 E13:H49</xm:sqref>
        </x14:conditionalFormatting>
        <x14:conditionalFormatting xmlns:xm="http://schemas.microsoft.com/office/excel/2006/main">
          <x14:cfRule type="expression" priority="3" id="{0224832D-8B83-4695-9456-9CD3C9383BF7}">
            <xm:f>Postup!$M$61=0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I59:K62 J21:K21 J24:K24 J26:K27 J35:K36 J39:K40</xm:sqref>
        </x14:conditionalFormatting>
        <x14:conditionalFormatting xmlns:xm="http://schemas.microsoft.com/office/excel/2006/main">
          <x14:cfRule type="expression" priority="10" id="{27C71F69-5A08-453F-8DBC-09BD52629B5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K23 K20</xm:sqref>
        </x14:conditionalFormatting>
        <x14:conditionalFormatting xmlns:xm="http://schemas.microsoft.com/office/excel/2006/main">
          <x14:cfRule type="expression" priority="9" id="{39CE1CB9-B924-496B-A548-C3F5AC37DBB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J23 J20</xm:sqref>
        </x14:conditionalFormatting>
        <x14:conditionalFormatting xmlns:xm="http://schemas.microsoft.com/office/excel/2006/main">
          <x14:cfRule type="expression" priority="1" id="{EE5C784C-69E2-49AF-8F06-CC1ED5E6896A}">
            <xm:f>Postup!$J$74="Ano"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F29 H29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7578"/>
  </sheetPr>
  <dimension ref="A1:BP114"/>
  <sheetViews>
    <sheetView topLeftCell="A46" zoomScaleNormal="100" workbookViewId="0">
      <selection activeCell="G43" sqref="G43"/>
    </sheetView>
  </sheetViews>
  <sheetFormatPr defaultRowHeight="15" x14ac:dyDescent="0.25"/>
  <cols>
    <col min="1" max="1" width="3.5703125" customWidth="1"/>
    <col min="2" max="2" width="5.85546875" customWidth="1"/>
    <col min="3" max="3" width="34.28515625" customWidth="1"/>
    <col min="5" max="5" width="9.140625" customWidth="1"/>
    <col min="7" max="7" width="9.140625" customWidth="1"/>
    <col min="9" max="12" width="9.140625" customWidth="1"/>
    <col min="15" max="16" width="9.140625" customWidth="1"/>
    <col min="23" max="23" width="9.140625" customWidth="1"/>
  </cols>
  <sheetData>
    <row r="1" spans="1:68" x14ac:dyDescent="0.25">
      <c r="A1" s="182"/>
      <c r="B1" s="352"/>
      <c r="C1" s="182"/>
      <c r="D1" s="182"/>
      <c r="E1" s="182"/>
      <c r="F1" s="182"/>
      <c r="G1" s="182"/>
      <c r="H1" s="182"/>
      <c r="I1" s="182"/>
      <c r="J1" s="182"/>
      <c r="K1" s="257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2" spans="1:68" ht="15.75" thickBot="1" x14ac:dyDescent="0.3">
      <c r="A2" s="182"/>
      <c r="B2" s="258" t="s">
        <v>334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</row>
    <row r="3" spans="1:68" ht="15" customHeight="1" x14ac:dyDescent="0.25">
      <c r="A3" s="182"/>
      <c r="B3" s="257"/>
      <c r="C3" s="182"/>
      <c r="D3" s="182"/>
      <c r="E3" s="291">
        <f>E18</f>
        <v>2020</v>
      </c>
      <c r="F3" s="891" t="s">
        <v>268</v>
      </c>
      <c r="G3" s="252">
        <f>E3</f>
        <v>2020</v>
      </c>
      <c r="H3" s="254">
        <f>G3+1</f>
        <v>2021</v>
      </c>
      <c r="I3" s="891" t="s">
        <v>268</v>
      </c>
      <c r="J3" s="256">
        <f>H3</f>
        <v>2021</v>
      </c>
      <c r="K3" s="254">
        <f>J3+1</f>
        <v>2022</v>
      </c>
      <c r="L3" s="891" t="s">
        <v>268</v>
      </c>
      <c r="M3" s="256">
        <f>K3</f>
        <v>2022</v>
      </c>
      <c r="N3" s="254">
        <f>M3+1</f>
        <v>2023</v>
      </c>
      <c r="O3" s="891" t="s">
        <v>268</v>
      </c>
      <c r="P3" s="256">
        <f>N3</f>
        <v>2023</v>
      </c>
      <c r="Q3" s="254">
        <f>P3+1</f>
        <v>2024</v>
      </c>
      <c r="R3" s="893" t="s">
        <v>268</v>
      </c>
      <c r="S3" s="256">
        <f>Q3</f>
        <v>2024</v>
      </c>
      <c r="T3" s="254">
        <f>S3+1</f>
        <v>2025</v>
      </c>
      <c r="U3" s="891" t="s">
        <v>268</v>
      </c>
      <c r="V3" s="256">
        <f>T3</f>
        <v>2025</v>
      </c>
      <c r="W3" s="254">
        <f>V3+1</f>
        <v>2026</v>
      </c>
      <c r="X3" s="891" t="s">
        <v>268</v>
      </c>
      <c r="Y3" s="256">
        <f>W3</f>
        <v>2026</v>
      </c>
      <c r="Z3" s="254">
        <f>Y3+1</f>
        <v>2027</v>
      </c>
      <c r="AA3" s="891" t="s">
        <v>268</v>
      </c>
      <c r="AB3" s="256">
        <f>Z3</f>
        <v>2027</v>
      </c>
      <c r="AC3" s="254">
        <f>AB3+1</f>
        <v>2028</v>
      </c>
      <c r="AD3" s="891" t="s">
        <v>268</v>
      </c>
      <c r="AE3" s="256">
        <f>AC3</f>
        <v>2028</v>
      </c>
      <c r="AF3" s="254">
        <f>AE3+1</f>
        <v>2029</v>
      </c>
      <c r="AG3" s="891" t="s">
        <v>268</v>
      </c>
    </row>
    <row r="4" spans="1:68" ht="18.75" customHeight="1" x14ac:dyDescent="0.25">
      <c r="A4" s="182"/>
      <c r="B4" s="182"/>
      <c r="C4" s="53"/>
      <c r="D4" s="53"/>
      <c r="E4" s="895" t="s">
        <v>277</v>
      </c>
      <c r="F4" s="892"/>
      <c r="G4" s="889" t="s">
        <v>276</v>
      </c>
      <c r="H4" s="856" t="s">
        <v>277</v>
      </c>
      <c r="I4" s="892"/>
      <c r="J4" s="889" t="s">
        <v>276</v>
      </c>
      <c r="K4" s="856" t="s">
        <v>277</v>
      </c>
      <c r="L4" s="892"/>
      <c r="M4" s="889" t="s">
        <v>276</v>
      </c>
      <c r="N4" s="856" t="s">
        <v>277</v>
      </c>
      <c r="O4" s="892"/>
      <c r="P4" s="889" t="s">
        <v>276</v>
      </c>
      <c r="Q4" s="856" t="s">
        <v>277</v>
      </c>
      <c r="R4" s="894"/>
      <c r="S4" s="889" t="s">
        <v>276</v>
      </c>
      <c r="T4" s="856" t="s">
        <v>277</v>
      </c>
      <c r="U4" s="892"/>
      <c r="V4" s="889" t="s">
        <v>276</v>
      </c>
      <c r="W4" s="856" t="s">
        <v>277</v>
      </c>
      <c r="X4" s="892"/>
      <c r="Y4" s="889" t="s">
        <v>276</v>
      </c>
      <c r="Z4" s="856" t="s">
        <v>277</v>
      </c>
      <c r="AA4" s="892"/>
      <c r="AB4" s="889" t="s">
        <v>276</v>
      </c>
      <c r="AC4" s="856" t="s">
        <v>277</v>
      </c>
      <c r="AD4" s="892"/>
      <c r="AE4" s="889" t="s">
        <v>276</v>
      </c>
      <c r="AF4" s="895" t="s">
        <v>277</v>
      </c>
      <c r="AG4" s="892"/>
    </row>
    <row r="5" spans="1:68" ht="11.25" customHeight="1" x14ac:dyDescent="0.25">
      <c r="A5" s="182"/>
      <c r="B5" s="182"/>
      <c r="C5" s="53"/>
      <c r="D5" s="53"/>
      <c r="E5" s="896"/>
      <c r="F5" s="290" t="str">
        <f>CONCATENATE("roce ",E3+1)</f>
        <v>roce 2021</v>
      </c>
      <c r="G5" s="890"/>
      <c r="H5" s="857"/>
      <c r="I5" s="290" t="str">
        <f>CONCATENATE("roce ",H3+1)</f>
        <v>roce 2022</v>
      </c>
      <c r="J5" s="890"/>
      <c r="K5" s="857"/>
      <c r="L5" s="290" t="str">
        <f>CONCATENATE("roce ",K3+1)</f>
        <v>roce 2023</v>
      </c>
      <c r="M5" s="890"/>
      <c r="N5" s="857"/>
      <c r="O5" s="290" t="str">
        <f>CONCATENATE("roce ",N3+1)</f>
        <v>roce 2024</v>
      </c>
      <c r="P5" s="890"/>
      <c r="Q5" s="857"/>
      <c r="R5" s="290" t="str">
        <f>CONCATENATE("roce ",Q3+1)</f>
        <v>roce 2025</v>
      </c>
      <c r="S5" s="890"/>
      <c r="T5" s="857"/>
      <c r="U5" s="290" t="str">
        <f>CONCATENATE("roce ",T3+1)</f>
        <v>roce 2026</v>
      </c>
      <c r="V5" s="890"/>
      <c r="W5" s="857"/>
      <c r="X5" s="290" t="str">
        <f>CONCATENATE("roce ",W3+1)</f>
        <v>roce 2027</v>
      </c>
      <c r="Y5" s="890"/>
      <c r="Z5" s="857"/>
      <c r="AA5" s="290" t="str">
        <f>CONCATENATE("roce ",Z3+1)</f>
        <v>roce 2028</v>
      </c>
      <c r="AB5" s="890"/>
      <c r="AC5" s="857"/>
      <c r="AD5" s="290" t="str">
        <f>CONCATENATE("roce ",AC3+1)</f>
        <v>roce 2029</v>
      </c>
      <c r="AE5" s="890"/>
      <c r="AF5" s="896"/>
      <c r="AG5" s="290" t="str">
        <f>CONCATENATE("roce ",AF3+1)</f>
        <v>roce 2030</v>
      </c>
    </row>
    <row r="6" spans="1:68" x14ac:dyDescent="0.25">
      <c r="A6" s="182"/>
      <c r="B6" s="781" t="s">
        <v>159</v>
      </c>
      <c r="C6" s="782"/>
      <c r="D6" s="250"/>
      <c r="E6" s="292">
        <v>0</v>
      </c>
      <c r="F6" s="579">
        <f>E6*2</f>
        <v>0</v>
      </c>
      <c r="G6" s="253">
        <v>0</v>
      </c>
      <c r="H6" s="255">
        <v>0</v>
      </c>
      <c r="I6" s="579">
        <f>F6-E6+G6+(H6*2)</f>
        <v>0</v>
      </c>
      <c r="J6" s="253">
        <v>0</v>
      </c>
      <c r="K6" s="255">
        <v>0</v>
      </c>
      <c r="L6" s="579">
        <f>I6-H6+J6+(K6*2)</f>
        <v>0</v>
      </c>
      <c r="M6" s="253">
        <v>0</v>
      </c>
      <c r="N6" s="255">
        <v>0</v>
      </c>
      <c r="O6" s="579">
        <f>L6-K6+M6+(N6*2)</f>
        <v>0</v>
      </c>
      <c r="P6" s="253">
        <v>0</v>
      </c>
      <c r="Q6" s="255">
        <v>0</v>
      </c>
      <c r="R6" s="579">
        <f>O6-N6+P6+(Q6*2)</f>
        <v>0</v>
      </c>
      <c r="S6" s="253">
        <v>0</v>
      </c>
      <c r="T6" s="255">
        <v>0</v>
      </c>
      <c r="U6" s="579">
        <f>R6-Q6+S6+(T6*2)</f>
        <v>0</v>
      </c>
      <c r="V6" s="253">
        <v>0</v>
      </c>
      <c r="W6" s="255">
        <v>0</v>
      </c>
      <c r="X6" s="579">
        <f>U6-T6+V6+(W6*2)</f>
        <v>0</v>
      </c>
      <c r="Y6" s="253">
        <v>0</v>
      </c>
      <c r="Z6" s="255">
        <v>0</v>
      </c>
      <c r="AA6" s="579">
        <f>X6-W6+Y6+(Z6*2)</f>
        <v>0</v>
      </c>
      <c r="AB6" s="253">
        <v>0</v>
      </c>
      <c r="AC6" s="255">
        <v>0</v>
      </c>
      <c r="AD6" s="579">
        <f>AA6-Z6+AB6+(AC6*2)</f>
        <v>0</v>
      </c>
      <c r="AE6" s="253">
        <v>0</v>
      </c>
      <c r="AF6" s="255">
        <v>0</v>
      </c>
      <c r="AG6" s="579">
        <f>AD6-AC6+AE6+(AF6*2)</f>
        <v>0</v>
      </c>
    </row>
    <row r="7" spans="1:68" x14ac:dyDescent="0.25">
      <c r="A7" s="182"/>
      <c r="B7" s="781" t="s">
        <v>158</v>
      </c>
      <c r="C7" s="782"/>
      <c r="D7" s="250"/>
      <c r="E7" s="292">
        <v>0</v>
      </c>
      <c r="F7" s="579">
        <f t="shared" ref="F7:F14" si="0">E7*2</f>
        <v>0</v>
      </c>
      <c r="G7" s="253">
        <v>0</v>
      </c>
      <c r="H7" s="255">
        <v>0</v>
      </c>
      <c r="I7" s="579">
        <f t="shared" ref="I7:I14" si="1">F7-E7+G7+(H7*2)</f>
        <v>0</v>
      </c>
      <c r="J7" s="253">
        <v>0</v>
      </c>
      <c r="K7" s="255">
        <v>0</v>
      </c>
      <c r="L7" s="579">
        <f t="shared" ref="L7:L14" si="2">I7-H7+J7+(K7*2)</f>
        <v>0</v>
      </c>
      <c r="M7" s="253">
        <v>0</v>
      </c>
      <c r="N7" s="255">
        <v>0</v>
      </c>
      <c r="O7" s="579">
        <f t="shared" ref="O7:O14" si="3">L7-K7+M7+(N7*2)</f>
        <v>0</v>
      </c>
      <c r="P7" s="253">
        <v>0</v>
      </c>
      <c r="Q7" s="255">
        <v>0</v>
      </c>
      <c r="R7" s="579">
        <f t="shared" ref="R7:R14" si="4">O7-N7+P7+(Q7*2)</f>
        <v>0</v>
      </c>
      <c r="S7" s="253">
        <v>0</v>
      </c>
      <c r="T7" s="255">
        <v>0</v>
      </c>
      <c r="U7" s="579">
        <f t="shared" ref="U7:U14" si="5">R7-Q7+S7+(T7*2)</f>
        <v>0</v>
      </c>
      <c r="V7" s="253">
        <v>0</v>
      </c>
      <c r="W7" s="255">
        <v>0</v>
      </c>
      <c r="X7" s="579">
        <f t="shared" ref="X7:X14" si="6">U7-T7+V7+(W7*2)</f>
        <v>0</v>
      </c>
      <c r="Y7" s="253">
        <v>0</v>
      </c>
      <c r="Z7" s="255">
        <v>0</v>
      </c>
      <c r="AA7" s="579">
        <f t="shared" ref="AA7:AA14" si="7">X7-W7+Y7+(Z7*2)</f>
        <v>0</v>
      </c>
      <c r="AB7" s="253">
        <v>0</v>
      </c>
      <c r="AC7" s="255">
        <v>0</v>
      </c>
      <c r="AD7" s="579">
        <f t="shared" ref="AD7:AD14" si="8">AA7-Z7+AB7+(AC7*2)</f>
        <v>0</v>
      </c>
      <c r="AE7" s="253">
        <v>0</v>
      </c>
      <c r="AF7" s="255">
        <v>0</v>
      </c>
      <c r="AG7" s="579">
        <f t="shared" ref="AG7:AG14" si="9">AD7-AC7+AE7+(AF7*2)</f>
        <v>0</v>
      </c>
      <c r="AH7" s="407"/>
      <c r="AI7" s="407"/>
      <c r="AJ7" s="407"/>
    </row>
    <row r="8" spans="1:68" x14ac:dyDescent="0.25">
      <c r="A8" s="182"/>
      <c r="B8" s="781" t="s">
        <v>172</v>
      </c>
      <c r="C8" s="782"/>
      <c r="D8" s="250"/>
      <c r="E8" s="292">
        <v>0</v>
      </c>
      <c r="F8" s="579">
        <f t="shared" si="0"/>
        <v>0</v>
      </c>
      <c r="G8" s="253">
        <v>0</v>
      </c>
      <c r="H8" s="255">
        <v>0</v>
      </c>
      <c r="I8" s="579">
        <f t="shared" si="1"/>
        <v>0</v>
      </c>
      <c r="J8" s="253">
        <v>0</v>
      </c>
      <c r="K8" s="255">
        <v>0</v>
      </c>
      <c r="L8" s="579">
        <f t="shared" si="2"/>
        <v>0</v>
      </c>
      <c r="M8" s="253">
        <v>0</v>
      </c>
      <c r="N8" s="255">
        <v>0</v>
      </c>
      <c r="O8" s="579">
        <f t="shared" si="3"/>
        <v>0</v>
      </c>
      <c r="P8" s="253">
        <v>0</v>
      </c>
      <c r="Q8" s="255">
        <v>0</v>
      </c>
      <c r="R8" s="579">
        <f t="shared" si="4"/>
        <v>0</v>
      </c>
      <c r="S8" s="253">
        <v>0</v>
      </c>
      <c r="T8" s="255">
        <v>0</v>
      </c>
      <c r="U8" s="579">
        <f t="shared" si="5"/>
        <v>0</v>
      </c>
      <c r="V8" s="253">
        <v>0</v>
      </c>
      <c r="W8" s="255">
        <v>0</v>
      </c>
      <c r="X8" s="579">
        <f t="shared" si="6"/>
        <v>0</v>
      </c>
      <c r="Y8" s="253">
        <v>0</v>
      </c>
      <c r="Z8" s="255">
        <v>0</v>
      </c>
      <c r="AA8" s="579">
        <f t="shared" si="7"/>
        <v>0</v>
      </c>
      <c r="AB8" s="253">
        <v>0</v>
      </c>
      <c r="AC8" s="255">
        <v>0</v>
      </c>
      <c r="AD8" s="579">
        <f t="shared" si="8"/>
        <v>0</v>
      </c>
      <c r="AE8" s="253">
        <v>0</v>
      </c>
      <c r="AF8" s="255">
        <v>0</v>
      </c>
      <c r="AG8" s="579">
        <f t="shared" si="9"/>
        <v>0</v>
      </c>
      <c r="AH8" s="407"/>
      <c r="AI8" s="407"/>
      <c r="AJ8" s="407"/>
    </row>
    <row r="9" spans="1:68" x14ac:dyDescent="0.25">
      <c r="A9" s="182"/>
      <c r="B9" s="209" t="s">
        <v>229</v>
      </c>
      <c r="C9" s="210"/>
      <c r="D9" s="250"/>
      <c r="E9" s="640">
        <v>0</v>
      </c>
      <c r="F9" s="579">
        <f t="shared" si="0"/>
        <v>0</v>
      </c>
      <c r="G9" s="253">
        <v>0</v>
      </c>
      <c r="H9" s="255">
        <v>0</v>
      </c>
      <c r="I9" s="579">
        <f t="shared" si="1"/>
        <v>0</v>
      </c>
      <c r="J9" s="253">
        <v>0</v>
      </c>
      <c r="K9" s="255">
        <v>0</v>
      </c>
      <c r="L9" s="579">
        <f t="shared" si="2"/>
        <v>0</v>
      </c>
      <c r="M9" s="253">
        <v>0</v>
      </c>
      <c r="N9" s="255">
        <v>0</v>
      </c>
      <c r="O9" s="579">
        <f t="shared" si="3"/>
        <v>0</v>
      </c>
      <c r="P9" s="253">
        <v>0</v>
      </c>
      <c r="Q9" s="255">
        <v>0</v>
      </c>
      <c r="R9" s="579">
        <f t="shared" si="4"/>
        <v>0</v>
      </c>
      <c r="S9" s="253">
        <v>0</v>
      </c>
      <c r="T9" s="255">
        <v>0</v>
      </c>
      <c r="U9" s="579">
        <f t="shared" si="5"/>
        <v>0</v>
      </c>
      <c r="V9" s="253">
        <v>0</v>
      </c>
      <c r="W9" s="255">
        <v>0</v>
      </c>
      <c r="X9" s="579">
        <f t="shared" si="6"/>
        <v>0</v>
      </c>
      <c r="Y9" s="253">
        <v>0</v>
      </c>
      <c r="Z9" s="255">
        <v>0</v>
      </c>
      <c r="AA9" s="579">
        <f t="shared" si="7"/>
        <v>0</v>
      </c>
      <c r="AB9" s="253">
        <v>0</v>
      </c>
      <c r="AC9" s="255">
        <v>0</v>
      </c>
      <c r="AD9" s="579">
        <f t="shared" si="8"/>
        <v>0</v>
      </c>
      <c r="AE9" s="253">
        <v>0</v>
      </c>
      <c r="AF9" s="255">
        <v>0</v>
      </c>
      <c r="AG9" s="579">
        <f t="shared" si="9"/>
        <v>0</v>
      </c>
      <c r="AH9" s="407"/>
      <c r="AI9" s="407"/>
      <c r="AJ9" s="407"/>
    </row>
    <row r="10" spans="1:68" x14ac:dyDescent="0.25">
      <c r="A10" s="182"/>
      <c r="B10" s="209" t="s">
        <v>162</v>
      </c>
      <c r="C10" s="210"/>
      <c r="D10" s="250"/>
      <c r="E10" s="292">
        <v>0</v>
      </c>
      <c r="F10" s="579">
        <f t="shared" si="0"/>
        <v>0</v>
      </c>
      <c r="G10" s="253">
        <v>0</v>
      </c>
      <c r="H10" s="255">
        <v>0</v>
      </c>
      <c r="I10" s="579">
        <f t="shared" si="1"/>
        <v>0</v>
      </c>
      <c r="J10" s="253">
        <v>0</v>
      </c>
      <c r="K10" s="255">
        <v>0</v>
      </c>
      <c r="L10" s="579">
        <f t="shared" si="2"/>
        <v>0</v>
      </c>
      <c r="M10" s="253">
        <v>0</v>
      </c>
      <c r="N10" s="255">
        <v>0</v>
      </c>
      <c r="O10" s="579">
        <f t="shared" si="3"/>
        <v>0</v>
      </c>
      <c r="P10" s="253">
        <v>0</v>
      </c>
      <c r="Q10" s="255">
        <v>0</v>
      </c>
      <c r="R10" s="579">
        <f t="shared" si="4"/>
        <v>0</v>
      </c>
      <c r="S10" s="253">
        <v>0</v>
      </c>
      <c r="T10" s="255">
        <v>0</v>
      </c>
      <c r="U10" s="579">
        <f t="shared" si="5"/>
        <v>0</v>
      </c>
      <c r="V10" s="253">
        <v>0</v>
      </c>
      <c r="W10" s="255">
        <v>0</v>
      </c>
      <c r="X10" s="579">
        <f t="shared" si="6"/>
        <v>0</v>
      </c>
      <c r="Y10" s="253">
        <v>0</v>
      </c>
      <c r="Z10" s="255">
        <v>0</v>
      </c>
      <c r="AA10" s="579">
        <f t="shared" si="7"/>
        <v>0</v>
      </c>
      <c r="AB10" s="253">
        <v>0</v>
      </c>
      <c r="AC10" s="255">
        <v>0</v>
      </c>
      <c r="AD10" s="579">
        <f t="shared" si="8"/>
        <v>0</v>
      </c>
      <c r="AE10" s="253">
        <v>0</v>
      </c>
      <c r="AF10" s="255">
        <v>0</v>
      </c>
      <c r="AG10" s="579">
        <f t="shared" si="9"/>
        <v>0</v>
      </c>
      <c r="AH10" s="407"/>
      <c r="AI10" s="407"/>
      <c r="AJ10" s="407"/>
    </row>
    <row r="11" spans="1:68" x14ac:dyDescent="0.25">
      <c r="A11" s="182"/>
      <c r="B11" s="199" t="s">
        <v>193</v>
      </c>
      <c r="C11" s="208"/>
      <c r="D11" s="208"/>
      <c r="E11" s="292">
        <v>0</v>
      </c>
      <c r="F11" s="579">
        <f t="shared" si="0"/>
        <v>0</v>
      </c>
      <c r="G11" s="253">
        <v>0</v>
      </c>
      <c r="H11" s="255">
        <v>0</v>
      </c>
      <c r="I11" s="579">
        <f t="shared" si="1"/>
        <v>0</v>
      </c>
      <c r="J11" s="253">
        <v>0</v>
      </c>
      <c r="K11" s="255">
        <v>0</v>
      </c>
      <c r="L11" s="579">
        <f t="shared" si="2"/>
        <v>0</v>
      </c>
      <c r="M11" s="253">
        <v>0</v>
      </c>
      <c r="N11" s="255">
        <v>0</v>
      </c>
      <c r="O11" s="579">
        <f t="shared" si="3"/>
        <v>0</v>
      </c>
      <c r="P11" s="253">
        <v>0</v>
      </c>
      <c r="Q11" s="255">
        <v>0</v>
      </c>
      <c r="R11" s="579">
        <f t="shared" si="4"/>
        <v>0</v>
      </c>
      <c r="S11" s="253">
        <v>0</v>
      </c>
      <c r="T11" s="255">
        <v>0</v>
      </c>
      <c r="U11" s="579">
        <f t="shared" si="5"/>
        <v>0</v>
      </c>
      <c r="V11" s="253">
        <v>0</v>
      </c>
      <c r="W11" s="255">
        <v>0</v>
      </c>
      <c r="X11" s="579">
        <f t="shared" si="6"/>
        <v>0</v>
      </c>
      <c r="Y11" s="253">
        <v>0</v>
      </c>
      <c r="Z11" s="255">
        <v>0</v>
      </c>
      <c r="AA11" s="579">
        <f t="shared" si="7"/>
        <v>0</v>
      </c>
      <c r="AB11" s="253">
        <v>0</v>
      </c>
      <c r="AC11" s="255">
        <v>0</v>
      </c>
      <c r="AD11" s="579">
        <f t="shared" si="8"/>
        <v>0</v>
      </c>
      <c r="AE11" s="253">
        <v>0</v>
      </c>
      <c r="AF11" s="255">
        <v>0</v>
      </c>
      <c r="AG11" s="579">
        <f t="shared" si="9"/>
        <v>0</v>
      </c>
      <c r="AH11" s="407"/>
      <c r="AI11" s="407"/>
      <c r="AJ11" s="407"/>
    </row>
    <row r="12" spans="1:68" hidden="1" x14ac:dyDescent="0.25">
      <c r="A12" s="182"/>
      <c r="B12" s="559"/>
      <c r="C12" s="560"/>
      <c r="D12" s="561"/>
      <c r="E12" s="292"/>
      <c r="F12" s="579"/>
      <c r="G12" s="253"/>
      <c r="H12" s="255"/>
      <c r="I12" s="579"/>
      <c r="J12" s="253"/>
      <c r="K12" s="255"/>
      <c r="L12" s="579"/>
      <c r="M12" s="253"/>
      <c r="N12" s="255"/>
      <c r="O12" s="579"/>
      <c r="P12" s="253"/>
      <c r="Q12" s="255"/>
      <c r="R12" s="579"/>
      <c r="S12" s="253"/>
      <c r="T12" s="255"/>
      <c r="U12" s="579"/>
      <c r="V12" s="253"/>
      <c r="W12" s="255"/>
      <c r="X12" s="579"/>
      <c r="Y12" s="253"/>
      <c r="Z12" s="255"/>
      <c r="AA12" s="579"/>
      <c r="AB12" s="253"/>
      <c r="AC12" s="255"/>
      <c r="AD12" s="579"/>
      <c r="AE12" s="253"/>
      <c r="AF12" s="255"/>
      <c r="AG12" s="579"/>
      <c r="AH12" s="407"/>
      <c r="AI12" s="407"/>
      <c r="AJ12" s="407"/>
    </row>
    <row r="13" spans="1:68" x14ac:dyDescent="0.25">
      <c r="A13" s="182"/>
      <c r="B13" s="209" t="s">
        <v>161</v>
      </c>
      <c r="C13" s="210"/>
      <c r="D13" s="251"/>
      <c r="E13" s="121">
        <f>IF((E10+0.01)&gt;E9,E9,E10+0.01)</f>
        <v>0</v>
      </c>
      <c r="F13" s="579">
        <f t="shared" si="0"/>
        <v>0</v>
      </c>
      <c r="G13" s="581">
        <f>IF((G10+0.01)&gt;G9,G9,G10+0.01)</f>
        <v>0</v>
      </c>
      <c r="H13" s="408">
        <f>IF((H10+0.01)&gt;H9,H9,H10+0.01)</f>
        <v>0</v>
      </c>
      <c r="I13" s="579">
        <f t="shared" si="1"/>
        <v>0</v>
      </c>
      <c r="J13" s="581">
        <f>IF((J10+0.01)&gt;J9,J9,J10+0.01)</f>
        <v>0</v>
      </c>
      <c r="K13" s="408">
        <f>IF((K10+0.01)&gt;K9,K9,K10+0.01)</f>
        <v>0</v>
      </c>
      <c r="L13" s="579">
        <f t="shared" si="2"/>
        <v>0</v>
      </c>
      <c r="M13" s="581">
        <f>IF((M10+0.01)&gt;M9,M9,M10+0.01)</f>
        <v>0</v>
      </c>
      <c r="N13" s="408">
        <f>IF((N10+0.01)&gt;N9,N9,N10+0.01)</f>
        <v>0</v>
      </c>
      <c r="O13" s="579">
        <f t="shared" si="3"/>
        <v>0</v>
      </c>
      <c r="P13" s="581">
        <f>IF((P10+0.01)&gt;P9,P9,P10+0.01)</f>
        <v>0</v>
      </c>
      <c r="Q13" s="408">
        <f>IF((Q10+0.01)&gt;Q9,Q9,Q10+0.01)</f>
        <v>0</v>
      </c>
      <c r="R13" s="579">
        <f>O13-N13+P13+(Q13*2)</f>
        <v>0</v>
      </c>
      <c r="S13" s="581">
        <f>IF((S10+0.01)&gt;S9,S9,S10+0.01)</f>
        <v>0</v>
      </c>
      <c r="T13" s="408">
        <f>IF((T10+0.01)&gt;T9,T9,T10+0.01)</f>
        <v>0</v>
      </c>
      <c r="U13" s="579">
        <f t="shared" si="5"/>
        <v>0</v>
      </c>
      <c r="V13" s="581">
        <f>IF((V10+0.01)&gt;V9,V9,V10+0.01)</f>
        <v>0</v>
      </c>
      <c r="W13" s="408">
        <f>IF((W10+0.01)&gt;W9,W9,W10+0.01)</f>
        <v>0</v>
      </c>
      <c r="X13" s="579">
        <f t="shared" si="6"/>
        <v>0</v>
      </c>
      <c r="Y13" s="581">
        <f>IF((Y10+0.01)&gt;Y9,Y9,Y10+0.01)</f>
        <v>0</v>
      </c>
      <c r="Z13" s="408">
        <f>IF((Z10+0.01)&gt;Z9,Z9,Z10+0.01)</f>
        <v>0</v>
      </c>
      <c r="AA13" s="579">
        <f t="shared" si="7"/>
        <v>0</v>
      </c>
      <c r="AB13" s="581">
        <f>IF((AB10+0.01)&gt;AB9,AB9,AB10+0.01)</f>
        <v>0</v>
      </c>
      <c r="AC13" s="408">
        <f>IF((AC10+0.01)&gt;AC9,AC9,AC10+0.01)</f>
        <v>0</v>
      </c>
      <c r="AD13" s="579">
        <f t="shared" si="8"/>
        <v>0</v>
      </c>
      <c r="AE13" s="581">
        <f>IF((AE10+0.01)&gt;AE9,AE9,AE10+0.01)</f>
        <v>0</v>
      </c>
      <c r="AF13" s="408">
        <f>IF((AF10+0.01)&gt;AF9,AF9,AF10+0.01)</f>
        <v>0</v>
      </c>
      <c r="AG13" s="579">
        <f t="shared" si="9"/>
        <v>0</v>
      </c>
      <c r="AH13" s="407"/>
      <c r="AI13" s="407"/>
      <c r="AJ13" s="407"/>
    </row>
    <row r="14" spans="1:68" ht="15.75" thickBot="1" x14ac:dyDescent="0.3">
      <c r="A14" s="182"/>
      <c r="B14" s="781" t="s">
        <v>160</v>
      </c>
      <c r="C14" s="782"/>
      <c r="D14" s="250"/>
      <c r="E14" s="641">
        <v>0</v>
      </c>
      <c r="F14" s="580">
        <f t="shared" si="0"/>
        <v>0</v>
      </c>
      <c r="G14" s="253">
        <v>0</v>
      </c>
      <c r="H14" s="255">
        <v>0</v>
      </c>
      <c r="I14" s="580">
        <f t="shared" si="1"/>
        <v>0</v>
      </c>
      <c r="J14" s="253">
        <v>0</v>
      </c>
      <c r="K14" s="255">
        <v>0</v>
      </c>
      <c r="L14" s="580">
        <f t="shared" si="2"/>
        <v>0</v>
      </c>
      <c r="M14" s="253">
        <v>0</v>
      </c>
      <c r="N14" s="255">
        <v>0</v>
      </c>
      <c r="O14" s="580">
        <f t="shared" si="3"/>
        <v>0</v>
      </c>
      <c r="P14" s="253">
        <v>0</v>
      </c>
      <c r="Q14" s="255">
        <v>0</v>
      </c>
      <c r="R14" s="580">
        <f t="shared" si="4"/>
        <v>0</v>
      </c>
      <c r="S14" s="253">
        <v>0</v>
      </c>
      <c r="T14" s="255">
        <v>0</v>
      </c>
      <c r="U14" s="580">
        <f t="shared" si="5"/>
        <v>0</v>
      </c>
      <c r="V14" s="253">
        <v>0</v>
      </c>
      <c r="W14" s="255">
        <v>0</v>
      </c>
      <c r="X14" s="580">
        <f t="shared" si="6"/>
        <v>0</v>
      </c>
      <c r="Y14" s="253">
        <v>0</v>
      </c>
      <c r="Z14" s="255">
        <v>0</v>
      </c>
      <c r="AA14" s="580">
        <f t="shared" si="7"/>
        <v>0</v>
      </c>
      <c r="AB14" s="253">
        <v>0</v>
      </c>
      <c r="AC14" s="255">
        <v>0</v>
      </c>
      <c r="AD14" s="580">
        <f t="shared" si="8"/>
        <v>0</v>
      </c>
      <c r="AE14" s="253">
        <v>0</v>
      </c>
      <c r="AF14" s="255">
        <v>0</v>
      </c>
      <c r="AG14" s="580">
        <f t="shared" si="9"/>
        <v>0</v>
      </c>
      <c r="AH14" s="407"/>
      <c r="AI14" s="407"/>
      <c r="AJ14" s="407"/>
      <c r="AV14" s="31"/>
    </row>
    <row r="15" spans="1:68" ht="15.75" thickBot="1" x14ac:dyDescent="0.3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</row>
    <row r="16" spans="1:68" x14ac:dyDescent="0.25">
      <c r="A16" s="182"/>
      <c r="B16" s="858" t="s">
        <v>351</v>
      </c>
      <c r="C16" s="859"/>
      <c r="D16" s="859"/>
      <c r="E16" s="859"/>
      <c r="F16" s="859"/>
      <c r="G16" s="859"/>
      <c r="H16" s="860"/>
      <c r="I16" s="828" t="s">
        <v>269</v>
      </c>
      <c r="J16" s="829"/>
      <c r="K16" s="182"/>
      <c r="L16" s="182"/>
      <c r="M16" s="182"/>
      <c r="N16" s="182"/>
      <c r="Q16" s="828" t="s">
        <v>269</v>
      </c>
      <c r="R16" s="829"/>
      <c r="S16" s="182"/>
      <c r="V16" s="828" t="s">
        <v>269</v>
      </c>
      <c r="W16" s="829"/>
      <c r="X16" s="182"/>
      <c r="AA16" s="828" t="s">
        <v>269</v>
      </c>
      <c r="AB16" s="829"/>
      <c r="AC16" s="182"/>
      <c r="AF16" s="828" t="s">
        <v>269</v>
      </c>
      <c r="AG16" s="829"/>
      <c r="AK16" s="828" t="s">
        <v>269</v>
      </c>
      <c r="AL16" s="829"/>
      <c r="AP16" s="828" t="s">
        <v>269</v>
      </c>
      <c r="AQ16" s="829"/>
      <c r="AU16" s="828" t="s">
        <v>269</v>
      </c>
      <c r="AV16" s="829"/>
      <c r="AZ16" s="828" t="s">
        <v>269</v>
      </c>
      <c r="BA16" s="829"/>
      <c r="BE16" s="828" t="s">
        <v>269</v>
      </c>
      <c r="BF16" s="829"/>
      <c r="BJ16" s="828" t="s">
        <v>269</v>
      </c>
      <c r="BK16" s="829"/>
      <c r="BL16" s="342"/>
      <c r="BM16" s="342"/>
      <c r="BN16" s="342"/>
      <c r="BO16" s="830"/>
      <c r="BP16" s="830"/>
    </row>
    <row r="17" spans="1:68" ht="24.75" customHeight="1" thickBot="1" x14ac:dyDescent="0.3">
      <c r="A17" s="182"/>
      <c r="B17" s="859"/>
      <c r="C17" s="859"/>
      <c r="D17" s="859"/>
      <c r="E17" s="859"/>
      <c r="F17" s="859"/>
      <c r="G17" s="859"/>
      <c r="H17" s="860"/>
      <c r="I17" s="629" t="s">
        <v>275</v>
      </c>
      <c r="J17" s="630"/>
      <c r="K17" s="182"/>
      <c r="L17" s="182"/>
      <c r="M17" s="182"/>
      <c r="N17" s="182"/>
      <c r="Q17" s="629" t="s">
        <v>275</v>
      </c>
      <c r="R17" s="630"/>
      <c r="S17" s="182"/>
      <c r="V17" s="629" t="s">
        <v>275</v>
      </c>
      <c r="W17" s="630"/>
      <c r="X17" s="182"/>
      <c r="AA17" s="629" t="s">
        <v>275</v>
      </c>
      <c r="AB17" s="630"/>
      <c r="AC17" s="182"/>
      <c r="AF17" s="629" t="s">
        <v>275</v>
      </c>
      <c r="AG17" s="630"/>
      <c r="AK17" s="629" t="s">
        <v>275</v>
      </c>
      <c r="AL17" s="630"/>
      <c r="AP17" s="629" t="s">
        <v>275</v>
      </c>
      <c r="AQ17" s="630"/>
      <c r="AU17" s="629" t="s">
        <v>275</v>
      </c>
      <c r="AV17" s="630"/>
      <c r="AZ17" s="629" t="s">
        <v>275</v>
      </c>
      <c r="BA17" s="630"/>
      <c r="BE17" s="629" t="s">
        <v>275</v>
      </c>
      <c r="BF17" s="630"/>
      <c r="BJ17" s="629" t="s">
        <v>275</v>
      </c>
      <c r="BK17" s="630"/>
      <c r="BL17" s="342"/>
      <c r="BM17" s="342"/>
      <c r="BN17" s="342"/>
      <c r="BO17" s="430"/>
      <c r="BP17" s="431"/>
    </row>
    <row r="18" spans="1:68" ht="34.5" customHeight="1" x14ac:dyDescent="0.25">
      <c r="A18" s="260"/>
      <c r="B18" s="810" t="s">
        <v>5</v>
      </c>
      <c r="C18" s="810" t="s">
        <v>1</v>
      </c>
      <c r="D18" s="880" t="s">
        <v>173</v>
      </c>
      <c r="E18" s="821">
        <f>Nabídka!D4</f>
        <v>2020</v>
      </c>
      <c r="F18" s="822"/>
      <c r="G18" s="882" t="s">
        <v>190</v>
      </c>
      <c r="H18" s="842"/>
      <c r="I18" s="833" t="s">
        <v>254</v>
      </c>
      <c r="J18" s="834"/>
      <c r="K18" s="897" t="s">
        <v>194</v>
      </c>
      <c r="L18" s="898"/>
      <c r="M18" s="899"/>
      <c r="N18" s="865" t="s">
        <v>252</v>
      </c>
      <c r="O18" s="821">
        <f>E18+1</f>
        <v>2021</v>
      </c>
      <c r="P18" s="822"/>
      <c r="Q18" s="833" t="s">
        <v>254</v>
      </c>
      <c r="R18" s="834"/>
      <c r="S18" s="845" t="s">
        <v>252</v>
      </c>
      <c r="T18" s="821">
        <f>O18+1</f>
        <v>2022</v>
      </c>
      <c r="U18" s="822"/>
      <c r="V18" s="833" t="s">
        <v>254</v>
      </c>
      <c r="W18" s="834"/>
      <c r="X18" s="845" t="s">
        <v>252</v>
      </c>
      <c r="Y18" s="821">
        <f>T18+1</f>
        <v>2023</v>
      </c>
      <c r="Z18" s="822"/>
      <c r="AA18" s="833" t="s">
        <v>254</v>
      </c>
      <c r="AB18" s="834"/>
      <c r="AC18" s="845" t="s">
        <v>252</v>
      </c>
      <c r="AD18" s="821">
        <f>Y18+1</f>
        <v>2024</v>
      </c>
      <c r="AE18" s="822"/>
      <c r="AF18" s="833" t="s">
        <v>254</v>
      </c>
      <c r="AG18" s="834"/>
      <c r="AH18" s="845" t="s">
        <v>252</v>
      </c>
      <c r="AI18" s="849">
        <f>AD18+1</f>
        <v>2025</v>
      </c>
      <c r="AJ18" s="850"/>
      <c r="AK18" s="833" t="s">
        <v>254</v>
      </c>
      <c r="AL18" s="834"/>
      <c r="AM18" s="845" t="s">
        <v>252</v>
      </c>
      <c r="AN18" s="821">
        <f>AI18+1</f>
        <v>2026</v>
      </c>
      <c r="AO18" s="822"/>
      <c r="AP18" s="833" t="s">
        <v>254</v>
      </c>
      <c r="AQ18" s="834"/>
      <c r="AR18" s="835" t="s">
        <v>252</v>
      </c>
      <c r="AS18" s="821">
        <f>AN18+1</f>
        <v>2027</v>
      </c>
      <c r="AT18" s="822"/>
      <c r="AU18" s="833" t="s">
        <v>254</v>
      </c>
      <c r="AV18" s="834"/>
      <c r="AW18" s="835" t="s">
        <v>252</v>
      </c>
      <c r="AX18" s="821">
        <f>AS18+1</f>
        <v>2028</v>
      </c>
      <c r="AY18" s="822"/>
      <c r="AZ18" s="833" t="s">
        <v>254</v>
      </c>
      <c r="BA18" s="834"/>
      <c r="BB18" s="835" t="s">
        <v>252</v>
      </c>
      <c r="BC18" s="821">
        <f>AX18+1</f>
        <v>2029</v>
      </c>
      <c r="BD18" s="822"/>
      <c r="BE18" s="833" t="s">
        <v>254</v>
      </c>
      <c r="BF18" s="834"/>
      <c r="BG18" s="835" t="s">
        <v>252</v>
      </c>
      <c r="BH18" s="821">
        <f>BC18+1</f>
        <v>2030</v>
      </c>
      <c r="BI18" s="822"/>
      <c r="BJ18" s="833" t="s">
        <v>254</v>
      </c>
      <c r="BK18" s="834"/>
      <c r="BL18" s="841" t="s">
        <v>227</v>
      </c>
      <c r="BM18" s="842"/>
      <c r="BN18" s="434"/>
      <c r="BO18" s="435"/>
      <c r="BP18" s="435"/>
    </row>
    <row r="19" spans="1:68" ht="15.75" customHeight="1" x14ac:dyDescent="0.25">
      <c r="A19" s="260"/>
      <c r="B19" s="871"/>
      <c r="C19" s="871"/>
      <c r="D19" s="881"/>
      <c r="E19" s="831"/>
      <c r="F19" s="832"/>
      <c r="G19" s="883"/>
      <c r="H19" s="884"/>
      <c r="I19" s="839">
        <f>E18</f>
        <v>2020</v>
      </c>
      <c r="J19" s="840"/>
      <c r="K19" s="900"/>
      <c r="L19" s="901"/>
      <c r="M19" s="902"/>
      <c r="N19" s="866"/>
      <c r="O19" s="831"/>
      <c r="P19" s="832"/>
      <c r="Q19" s="839">
        <f>O18</f>
        <v>2021</v>
      </c>
      <c r="R19" s="840"/>
      <c r="S19" s="846"/>
      <c r="T19" s="831"/>
      <c r="U19" s="832"/>
      <c r="V19" s="839">
        <f>T18</f>
        <v>2022</v>
      </c>
      <c r="W19" s="840"/>
      <c r="X19" s="846"/>
      <c r="Y19" s="831"/>
      <c r="Z19" s="832"/>
      <c r="AA19" s="839">
        <f>Y18</f>
        <v>2023</v>
      </c>
      <c r="AB19" s="840"/>
      <c r="AC19" s="846"/>
      <c r="AD19" s="831"/>
      <c r="AE19" s="832"/>
      <c r="AF19" s="839">
        <f>AD18</f>
        <v>2024</v>
      </c>
      <c r="AG19" s="840"/>
      <c r="AH19" s="846"/>
      <c r="AI19" s="851"/>
      <c r="AJ19" s="852"/>
      <c r="AK19" s="839">
        <f>AI18</f>
        <v>2025</v>
      </c>
      <c r="AL19" s="840"/>
      <c r="AM19" s="846"/>
      <c r="AN19" s="831"/>
      <c r="AO19" s="832"/>
      <c r="AP19" s="839">
        <f>AN18</f>
        <v>2026</v>
      </c>
      <c r="AQ19" s="840"/>
      <c r="AR19" s="836"/>
      <c r="AS19" s="831"/>
      <c r="AT19" s="832"/>
      <c r="AU19" s="839">
        <f>AS18</f>
        <v>2027</v>
      </c>
      <c r="AV19" s="840"/>
      <c r="AW19" s="836"/>
      <c r="AX19" s="831"/>
      <c r="AY19" s="832"/>
      <c r="AZ19" s="839">
        <f>AX18</f>
        <v>2028</v>
      </c>
      <c r="BA19" s="840"/>
      <c r="BB19" s="836"/>
      <c r="BC19" s="837"/>
      <c r="BD19" s="838"/>
      <c r="BE19" s="839">
        <f>BC18</f>
        <v>2029</v>
      </c>
      <c r="BF19" s="840"/>
      <c r="BG19" s="836"/>
      <c r="BH19" s="837"/>
      <c r="BI19" s="838"/>
      <c r="BJ19" s="839">
        <f>BH18</f>
        <v>2030</v>
      </c>
      <c r="BK19" s="840"/>
      <c r="BL19" s="843">
        <f>Postup!J25</f>
        <v>2024</v>
      </c>
      <c r="BM19" s="832"/>
      <c r="BN19" s="434"/>
      <c r="BO19" s="435"/>
      <c r="BP19" s="435"/>
    </row>
    <row r="20" spans="1:68" ht="21.75" customHeight="1" x14ac:dyDescent="0.25">
      <c r="A20" s="260"/>
      <c r="B20" s="871"/>
      <c r="C20" s="871"/>
      <c r="D20" s="881"/>
      <c r="E20" s="248" t="s">
        <v>3</v>
      </c>
      <c r="F20" s="249" t="s">
        <v>4</v>
      </c>
      <c r="G20" s="248" t="s">
        <v>3</v>
      </c>
      <c r="H20" s="249" t="s">
        <v>4</v>
      </c>
      <c r="I20" s="248" t="s">
        <v>3</v>
      </c>
      <c r="J20" s="249" t="s">
        <v>4</v>
      </c>
      <c r="K20" s="900"/>
      <c r="L20" s="901"/>
      <c r="M20" s="902"/>
      <c r="N20" s="866"/>
      <c r="O20" s="248" t="s">
        <v>3</v>
      </c>
      <c r="P20" s="249" t="s">
        <v>4</v>
      </c>
      <c r="Q20" s="248" t="s">
        <v>3</v>
      </c>
      <c r="R20" s="249" t="s">
        <v>4</v>
      </c>
      <c r="S20" s="846"/>
      <c r="T20" s="248" t="s">
        <v>3</v>
      </c>
      <c r="U20" s="249" t="s">
        <v>4</v>
      </c>
      <c r="V20" s="248" t="s">
        <v>3</v>
      </c>
      <c r="W20" s="249" t="s">
        <v>4</v>
      </c>
      <c r="X20" s="846"/>
      <c r="Y20" s="248" t="s">
        <v>3</v>
      </c>
      <c r="Z20" s="249" t="s">
        <v>4</v>
      </c>
      <c r="AA20" s="248" t="s">
        <v>3</v>
      </c>
      <c r="AB20" s="249" t="s">
        <v>4</v>
      </c>
      <c r="AC20" s="846"/>
      <c r="AD20" s="248" t="s">
        <v>3</v>
      </c>
      <c r="AE20" s="249" t="s">
        <v>4</v>
      </c>
      <c r="AF20" s="248" t="s">
        <v>3</v>
      </c>
      <c r="AG20" s="249" t="s">
        <v>4</v>
      </c>
      <c r="AH20" s="846"/>
      <c r="AI20" s="248" t="s">
        <v>3</v>
      </c>
      <c r="AJ20" s="249" t="s">
        <v>4</v>
      </c>
      <c r="AK20" s="248" t="s">
        <v>3</v>
      </c>
      <c r="AL20" s="249" t="s">
        <v>4</v>
      </c>
      <c r="AM20" s="846"/>
      <c r="AN20" s="248" t="s">
        <v>3</v>
      </c>
      <c r="AO20" s="249" t="s">
        <v>4</v>
      </c>
      <c r="AP20" s="248" t="s">
        <v>3</v>
      </c>
      <c r="AQ20" s="249" t="s">
        <v>4</v>
      </c>
      <c r="AR20" s="836"/>
      <c r="AS20" s="248" t="s">
        <v>3</v>
      </c>
      <c r="AT20" s="249" t="s">
        <v>4</v>
      </c>
      <c r="AU20" s="248" t="s">
        <v>3</v>
      </c>
      <c r="AV20" s="249" t="s">
        <v>4</v>
      </c>
      <c r="AW20" s="836"/>
      <c r="AX20" s="248" t="s">
        <v>3</v>
      </c>
      <c r="AY20" s="249" t="s">
        <v>4</v>
      </c>
      <c r="AZ20" s="248" t="s">
        <v>3</v>
      </c>
      <c r="BA20" s="249" t="s">
        <v>4</v>
      </c>
      <c r="BB20" s="836"/>
      <c r="BC20" s="248" t="s">
        <v>3</v>
      </c>
      <c r="BD20" s="249" t="s">
        <v>4</v>
      </c>
      <c r="BE20" s="248" t="s">
        <v>3</v>
      </c>
      <c r="BF20" s="249" t="s">
        <v>4</v>
      </c>
      <c r="BG20" s="836"/>
      <c r="BH20" s="248" t="s">
        <v>3</v>
      </c>
      <c r="BI20" s="249" t="s">
        <v>4</v>
      </c>
      <c r="BJ20" s="248" t="s">
        <v>3</v>
      </c>
      <c r="BK20" s="249" t="s">
        <v>4</v>
      </c>
      <c r="BL20" s="416" t="s">
        <v>3</v>
      </c>
      <c r="BM20" s="249" t="s">
        <v>4</v>
      </c>
      <c r="BN20" s="108"/>
      <c r="BO20" s="108"/>
      <c r="BP20" s="108"/>
    </row>
    <row r="21" spans="1:68" ht="15" customHeight="1" thickBot="1" x14ac:dyDescent="0.3">
      <c r="A21" s="260"/>
      <c r="B21" s="811"/>
      <c r="C21" s="811"/>
      <c r="D21" s="840"/>
      <c r="E21" s="62" t="s">
        <v>114</v>
      </c>
      <c r="F21" s="93" t="s">
        <v>114</v>
      </c>
      <c r="G21" s="115" t="s">
        <v>114</v>
      </c>
      <c r="H21" s="189" t="s">
        <v>114</v>
      </c>
      <c r="I21" s="62" t="s">
        <v>114</v>
      </c>
      <c r="J21" s="63" t="s">
        <v>114</v>
      </c>
      <c r="K21" s="851"/>
      <c r="L21" s="903"/>
      <c r="M21" s="904"/>
      <c r="N21" s="194">
        <f>O18</f>
        <v>2021</v>
      </c>
      <c r="O21" s="62" t="s">
        <v>114</v>
      </c>
      <c r="P21" s="63" t="s">
        <v>114</v>
      </c>
      <c r="Q21" s="62" t="s">
        <v>114</v>
      </c>
      <c r="R21" s="63" t="s">
        <v>114</v>
      </c>
      <c r="S21" s="195">
        <f>T18</f>
        <v>2022</v>
      </c>
      <c r="T21" s="62" t="s">
        <v>114</v>
      </c>
      <c r="U21" s="189" t="s">
        <v>114</v>
      </c>
      <c r="V21" s="62" t="s">
        <v>114</v>
      </c>
      <c r="W21" s="63" t="s">
        <v>114</v>
      </c>
      <c r="X21" s="195">
        <f>Y18</f>
        <v>2023</v>
      </c>
      <c r="Y21" s="62" t="s">
        <v>114</v>
      </c>
      <c r="Z21" s="189" t="s">
        <v>114</v>
      </c>
      <c r="AA21" s="62" t="s">
        <v>114</v>
      </c>
      <c r="AB21" s="63" t="s">
        <v>114</v>
      </c>
      <c r="AC21" s="195">
        <f>AD18</f>
        <v>2024</v>
      </c>
      <c r="AD21" s="62" t="s">
        <v>114</v>
      </c>
      <c r="AE21" s="189" t="s">
        <v>114</v>
      </c>
      <c r="AF21" s="62" t="s">
        <v>114</v>
      </c>
      <c r="AG21" s="63" t="s">
        <v>114</v>
      </c>
      <c r="AH21" s="195">
        <f>AI18</f>
        <v>2025</v>
      </c>
      <c r="AI21" s="62" t="s">
        <v>114</v>
      </c>
      <c r="AJ21" s="63" t="s">
        <v>114</v>
      </c>
      <c r="AK21" s="62" t="s">
        <v>114</v>
      </c>
      <c r="AL21" s="63" t="s">
        <v>114</v>
      </c>
      <c r="AM21" s="195">
        <f>AN18</f>
        <v>2026</v>
      </c>
      <c r="AN21" s="62" t="s">
        <v>114</v>
      </c>
      <c r="AO21" s="189" t="s">
        <v>114</v>
      </c>
      <c r="AP21" s="62" t="s">
        <v>114</v>
      </c>
      <c r="AQ21" s="63" t="s">
        <v>114</v>
      </c>
      <c r="AR21" s="195">
        <f>AS18</f>
        <v>2027</v>
      </c>
      <c r="AS21" s="62" t="s">
        <v>114</v>
      </c>
      <c r="AT21" s="63" t="s">
        <v>114</v>
      </c>
      <c r="AU21" s="62" t="s">
        <v>114</v>
      </c>
      <c r="AV21" s="63" t="s">
        <v>114</v>
      </c>
      <c r="AW21" s="195">
        <f>AX18</f>
        <v>2028</v>
      </c>
      <c r="AX21" s="62" t="s">
        <v>114</v>
      </c>
      <c r="AY21" s="63" t="s">
        <v>114</v>
      </c>
      <c r="AZ21" s="62" t="s">
        <v>114</v>
      </c>
      <c r="BA21" s="63" t="s">
        <v>114</v>
      </c>
      <c r="BB21" s="195">
        <f>BC18</f>
        <v>2029</v>
      </c>
      <c r="BC21" s="62" t="s">
        <v>114</v>
      </c>
      <c r="BD21" s="63" t="s">
        <v>114</v>
      </c>
      <c r="BE21" s="62" t="s">
        <v>114</v>
      </c>
      <c r="BF21" s="63" t="s">
        <v>114</v>
      </c>
      <c r="BG21" s="195">
        <f>BH18</f>
        <v>2030</v>
      </c>
      <c r="BH21" s="62" t="s">
        <v>114</v>
      </c>
      <c r="BI21" s="63" t="s">
        <v>114</v>
      </c>
      <c r="BJ21" s="62" t="s">
        <v>114</v>
      </c>
      <c r="BK21" s="63" t="s">
        <v>114</v>
      </c>
      <c r="BL21" s="417" t="s">
        <v>114</v>
      </c>
      <c r="BM21" s="188" t="s">
        <v>114</v>
      </c>
      <c r="BN21" s="108"/>
      <c r="BO21" s="108"/>
      <c r="BP21" s="108"/>
    </row>
    <row r="22" spans="1:68" x14ac:dyDescent="0.25">
      <c r="A22" s="260"/>
      <c r="B22" s="193" t="s">
        <v>8</v>
      </c>
      <c r="C22" s="192" t="s">
        <v>9</v>
      </c>
      <c r="D22" s="191" t="s">
        <v>134</v>
      </c>
      <c r="E22" s="153">
        <f t="shared" ref="E22:J22" si="10">SUM(E23:E26)</f>
        <v>0</v>
      </c>
      <c r="F22" s="154">
        <f t="shared" si="10"/>
        <v>0.28999999999999998</v>
      </c>
      <c r="G22" s="155">
        <f t="shared" si="10"/>
        <v>0</v>
      </c>
      <c r="H22" s="156">
        <f t="shared" si="10"/>
        <v>0</v>
      </c>
      <c r="I22" s="153">
        <f t="shared" si="10"/>
        <v>0</v>
      </c>
      <c r="J22" s="163">
        <f t="shared" si="10"/>
        <v>0</v>
      </c>
      <c r="K22" s="863"/>
      <c r="L22" s="863"/>
      <c r="M22" s="864"/>
      <c r="N22" s="190" t="str">
        <f t="shared" ref="N22:N54" si="11">IF(ISBLANK(K22),"-  ",(VLOOKUP(K22,$B$6:$U$14,5))+1)</f>
        <v xml:space="preserve">-  </v>
      </c>
      <c r="O22" s="153">
        <f>SUM(O23:O26)</f>
        <v>0</v>
      </c>
      <c r="P22" s="154">
        <f>SUM(P23:P26)</f>
        <v>0.28999999999999998</v>
      </c>
      <c r="Q22" s="153">
        <f>SUM(Q23:Q26)</f>
        <v>0</v>
      </c>
      <c r="R22" s="163">
        <f>SUM(R23:R26)</f>
        <v>0</v>
      </c>
      <c r="S22" s="333" t="str">
        <f t="shared" ref="S22:S54" si="12">IF(ISBLANK($K22),"-  ",(VLOOKUP($K22,$B$6:$U$14,8))+1)</f>
        <v xml:space="preserve">-  </v>
      </c>
      <c r="T22" s="153">
        <f>SUM(T23:T26)</f>
        <v>0</v>
      </c>
      <c r="U22" s="163">
        <f>SUM(U23:U26)</f>
        <v>0.28999999999999998</v>
      </c>
      <c r="V22" s="153">
        <f>SUM(V23:V26)</f>
        <v>0</v>
      </c>
      <c r="W22" s="163">
        <f>SUM(W23:W26)</f>
        <v>0</v>
      </c>
      <c r="X22" s="190" t="str">
        <f t="shared" ref="X22:X54" si="13">IF(ISBLANK($K22),"-  ",(VLOOKUP($K22,$B$6:$U$14,11))+1)</f>
        <v xml:space="preserve">-  </v>
      </c>
      <c r="Y22" s="153">
        <f>SUM(Y23:Y26)</f>
        <v>0</v>
      </c>
      <c r="Z22" s="163">
        <f>SUM(Z23:Z26)</f>
        <v>0.28999999999999998</v>
      </c>
      <c r="AA22" s="153">
        <f>SUM(AA23:AA26)</f>
        <v>0</v>
      </c>
      <c r="AB22" s="163">
        <f>SUM(AB23:AB26)</f>
        <v>0</v>
      </c>
      <c r="AC22" s="190" t="str">
        <f t="shared" ref="AC22:AC54" si="14">IF(ISBLANK($K22),"-  ",(VLOOKUP($K22,$B$6:$U$14,14))+1)</f>
        <v xml:space="preserve">-  </v>
      </c>
      <c r="AD22" s="153">
        <f>SUM(AD23:AD26)</f>
        <v>0</v>
      </c>
      <c r="AE22" s="163">
        <f>SUM(AE23:AE26)</f>
        <v>0.28999999999999998</v>
      </c>
      <c r="AF22" s="153">
        <f>SUM(AF23:AF26)</f>
        <v>0</v>
      </c>
      <c r="AG22" s="163">
        <f>SUM(AG23:AG26)</f>
        <v>0</v>
      </c>
      <c r="AH22" s="190" t="str">
        <f t="shared" ref="AH22:AH54" si="15">IF(ISBLANK($K22),"-  ",(VLOOKUP($K22,$B$6:$U$14,17))+1)</f>
        <v xml:space="preserve">-  </v>
      </c>
      <c r="AI22" s="153">
        <f>SUM(AI23:AI26)</f>
        <v>0</v>
      </c>
      <c r="AJ22" s="163">
        <f>SUM(AJ23:AJ26)</f>
        <v>0.28999999999999998</v>
      </c>
      <c r="AK22" s="153">
        <f>SUM(AK23:AK26)</f>
        <v>0</v>
      </c>
      <c r="AL22" s="163">
        <f>SUM(AL23:AL26)</f>
        <v>0</v>
      </c>
      <c r="AM22" s="190" t="str">
        <f t="shared" ref="AM22:AM54" si="16">IF(ISBLANK($K22),"-  ",(VLOOKUP($K22,$B$6:$AJ$14,20))+1)</f>
        <v xml:space="preserve">-  </v>
      </c>
      <c r="AN22" s="153">
        <f>SUM(AN23:AN26)</f>
        <v>0</v>
      </c>
      <c r="AO22" s="163">
        <f>SUM(AO23:AO26)</f>
        <v>0.28999999999999998</v>
      </c>
      <c r="AP22" s="153">
        <f>SUM(AP23:AP26)</f>
        <v>0</v>
      </c>
      <c r="AQ22" s="163">
        <f>SUM(AQ23:AQ26)</f>
        <v>0</v>
      </c>
      <c r="AR22" s="190" t="str">
        <f t="shared" ref="AR22:AR54" si="17">IF(ISBLANK($K22),"-  ",(VLOOKUP($K22,$B$6:$AJ$14,23))+1)</f>
        <v xml:space="preserve">-  </v>
      </c>
      <c r="AS22" s="153">
        <f>SUM(AS23:AS26)</f>
        <v>0</v>
      </c>
      <c r="AT22" s="154">
        <f>SUM(AT23:AT26)</f>
        <v>0.28999999999999998</v>
      </c>
      <c r="AU22" s="153">
        <f>SUM(AU23:AU26)</f>
        <v>0</v>
      </c>
      <c r="AV22" s="163">
        <f>SUM(AV23:AV26)</f>
        <v>0</v>
      </c>
      <c r="AW22" s="190" t="str">
        <f t="shared" ref="AW22:AW54" si="18">IF(ISBLANK($K22),"-  ",(VLOOKUP($K22,$B$6:$AJ$14,26))+1)</f>
        <v xml:space="preserve">-  </v>
      </c>
      <c r="AX22" s="153">
        <f>SUM(AX23:AX26)</f>
        <v>0</v>
      </c>
      <c r="AY22" s="154">
        <f>SUM(AY23:AY26)</f>
        <v>0.28999999999999998</v>
      </c>
      <c r="AZ22" s="153">
        <f>SUM(AZ23:AZ26)</f>
        <v>0</v>
      </c>
      <c r="BA22" s="163">
        <f>SUM(BA23:BA26)</f>
        <v>0</v>
      </c>
      <c r="BB22" s="190" t="str">
        <f t="shared" ref="BB22:BB54" si="19">IF(ISBLANK($K22),"-  ",(VLOOKUP($K22,$B$6:$AJ$14,29))+1)</f>
        <v xml:space="preserve">-  </v>
      </c>
      <c r="BC22" s="153">
        <f>SUM(BC23:BC26)</f>
        <v>0</v>
      </c>
      <c r="BD22" s="154">
        <f>SUM(BD23:BD26)</f>
        <v>0.28999999999999998</v>
      </c>
      <c r="BE22" s="153">
        <f>SUM(BE23:BE26)</f>
        <v>0</v>
      </c>
      <c r="BF22" s="163">
        <f>SUM(BF23:BF26)</f>
        <v>0</v>
      </c>
      <c r="BG22" s="190" t="str">
        <f t="shared" ref="BG22:BG54" si="20">IF(ISBLANK($K22),"-  ",(VLOOKUP($K22,$B$6:$AJ$14,32))+1)</f>
        <v xml:space="preserve">-  </v>
      </c>
      <c r="BH22" s="153">
        <f t="shared" ref="BH22:BM22" si="21">SUM(BH23:BH26)</f>
        <v>0</v>
      </c>
      <c r="BI22" s="154">
        <f t="shared" si="21"/>
        <v>0.28999999999999998</v>
      </c>
      <c r="BJ22" s="153">
        <f t="shared" si="21"/>
        <v>0</v>
      </c>
      <c r="BK22" s="163">
        <f t="shared" si="21"/>
        <v>0</v>
      </c>
      <c r="BL22" s="418">
        <f t="shared" si="21"/>
        <v>0</v>
      </c>
      <c r="BM22" s="163">
        <f t="shared" si="21"/>
        <v>0</v>
      </c>
      <c r="BN22" s="421"/>
      <c r="BO22" s="421"/>
      <c r="BP22" s="421"/>
    </row>
    <row r="23" spans="1:68" x14ac:dyDescent="0.25">
      <c r="A23" s="260"/>
      <c r="B23" s="47" t="s">
        <v>11</v>
      </c>
      <c r="C23" s="42" t="s">
        <v>12</v>
      </c>
      <c r="D23" s="48" t="s">
        <v>134</v>
      </c>
      <c r="E23" s="631">
        <f>Nabídka!F18</f>
        <v>0</v>
      </c>
      <c r="F23" s="149">
        <f>Nabídka!H18</f>
        <v>0</v>
      </c>
      <c r="G23" s="157">
        <f>IF(AND(DAY(Postup!$H$24)=1,MONTH(Postup!$H$24)=1),0,E23*Výpočty!$E$17)</f>
        <v>0</v>
      </c>
      <c r="H23" s="158">
        <f>IF(AND(DAY(Postup!$H$24)=1,MONTH(Postup!$H$24)=1),0,F23*Výpočty!$E$17)</f>
        <v>0</v>
      </c>
      <c r="I23" s="632">
        <v>0</v>
      </c>
      <c r="J23" s="186">
        <v>0</v>
      </c>
      <c r="K23" s="863"/>
      <c r="L23" s="863"/>
      <c r="M23" s="864"/>
      <c r="N23" s="190" t="str">
        <f t="shared" si="11"/>
        <v xml:space="preserve">-  </v>
      </c>
      <c r="O23" s="631">
        <f>Nabídka!F18</f>
        <v>0</v>
      </c>
      <c r="P23" s="149">
        <v>0</v>
      </c>
      <c r="Q23" s="632">
        <v>0</v>
      </c>
      <c r="R23" s="186">
        <v>0</v>
      </c>
      <c r="S23" s="333" t="str">
        <f t="shared" si="12"/>
        <v xml:space="preserve">-  </v>
      </c>
      <c r="T23" s="631">
        <f>Nabídka!F18</f>
        <v>0</v>
      </c>
      <c r="U23" s="186">
        <v>0</v>
      </c>
      <c r="V23" s="632">
        <v>0</v>
      </c>
      <c r="W23" s="186">
        <v>0</v>
      </c>
      <c r="X23" s="190" t="str">
        <f t="shared" si="13"/>
        <v xml:space="preserve">-  </v>
      </c>
      <c r="Y23" s="631">
        <f>Nabídka!F18</f>
        <v>0</v>
      </c>
      <c r="Z23" s="186">
        <v>0</v>
      </c>
      <c r="AA23" s="632">
        <v>0</v>
      </c>
      <c r="AB23" s="186">
        <v>0</v>
      </c>
      <c r="AC23" s="190" t="str">
        <f t="shared" si="14"/>
        <v xml:space="preserve">-  </v>
      </c>
      <c r="AD23" s="631">
        <f>Nabídka!F18</f>
        <v>0</v>
      </c>
      <c r="AE23" s="186">
        <v>0</v>
      </c>
      <c r="AF23" s="632">
        <v>0</v>
      </c>
      <c r="AG23" s="186">
        <v>0</v>
      </c>
      <c r="AH23" s="190" t="str">
        <f t="shared" si="15"/>
        <v xml:space="preserve">-  </v>
      </c>
      <c r="AI23" s="632">
        <f>Nabídka!F18</f>
        <v>0</v>
      </c>
      <c r="AJ23" s="186">
        <v>0</v>
      </c>
      <c r="AK23" s="632">
        <v>0</v>
      </c>
      <c r="AL23" s="186">
        <v>0</v>
      </c>
      <c r="AM23" s="190" t="str">
        <f t="shared" si="16"/>
        <v xml:space="preserve">-  </v>
      </c>
      <c r="AN23" s="632">
        <f>Nabídka!F18</f>
        <v>0</v>
      </c>
      <c r="AO23" s="186">
        <v>0</v>
      </c>
      <c r="AP23" s="632">
        <v>0</v>
      </c>
      <c r="AQ23" s="186">
        <v>0</v>
      </c>
      <c r="AR23" s="190" t="str">
        <f t="shared" si="17"/>
        <v xml:space="preserve">-  </v>
      </c>
      <c r="AS23" s="632">
        <f>Nabídka!F18</f>
        <v>0</v>
      </c>
      <c r="AT23" s="149">
        <v>0</v>
      </c>
      <c r="AU23" s="632">
        <v>0</v>
      </c>
      <c r="AV23" s="186">
        <v>0</v>
      </c>
      <c r="AW23" s="190" t="str">
        <f t="shared" si="18"/>
        <v xml:space="preserve">-  </v>
      </c>
      <c r="AX23" s="632">
        <f>Nabídka!F18</f>
        <v>0</v>
      </c>
      <c r="AY23" s="149">
        <v>0</v>
      </c>
      <c r="AZ23" s="632">
        <v>0</v>
      </c>
      <c r="BA23" s="186">
        <v>0</v>
      </c>
      <c r="BB23" s="190" t="str">
        <f t="shared" si="19"/>
        <v xml:space="preserve">-  </v>
      </c>
      <c r="BC23" s="632">
        <f>Nabídka!F18</f>
        <v>0</v>
      </c>
      <c r="BD23" s="149">
        <v>0</v>
      </c>
      <c r="BE23" s="632">
        <v>0</v>
      </c>
      <c r="BF23" s="186">
        <v>0</v>
      </c>
      <c r="BG23" s="190" t="str">
        <f t="shared" si="20"/>
        <v xml:space="preserve">-  </v>
      </c>
      <c r="BH23" s="632">
        <f>Nabídka!F18</f>
        <v>0</v>
      </c>
      <c r="BI23" s="149">
        <v>0</v>
      </c>
      <c r="BJ23" s="632">
        <v>0</v>
      </c>
      <c r="BK23" s="186">
        <v>0</v>
      </c>
      <c r="BL23" s="636">
        <f>IF(AND(DAY(Postup!$H$25)=31,MONTH(Postup!$H$25)=12),0,INDEX($E23:$BP23,MATCH($BL$55,$E$55:$BP$55,0))*Výpočty!$E$23)</f>
        <v>0</v>
      </c>
      <c r="BM23" s="158">
        <f>IF(AND(DAY(Postup!$H$25)=31,MONTH(Postup!$H$25)=12),0,INDEX($E23:$BP23,MATCH($BM$55,$E$55:$BP$55,0))*Výpočty!$E$23)</f>
        <v>0</v>
      </c>
      <c r="BN23" s="184"/>
      <c r="BO23" s="184"/>
      <c r="BP23" s="184"/>
    </row>
    <row r="24" spans="1:68" x14ac:dyDescent="0.25">
      <c r="A24" s="260"/>
      <c r="B24" s="47" t="s">
        <v>13</v>
      </c>
      <c r="C24" s="47" t="s">
        <v>14</v>
      </c>
      <c r="D24" s="48" t="s">
        <v>134</v>
      </c>
      <c r="E24" s="631">
        <f>Nabídka!F19</f>
        <v>0</v>
      </c>
      <c r="F24" s="631">
        <f>Nabídka!H19</f>
        <v>0.28999999999999998</v>
      </c>
      <c r="G24" s="157">
        <f>IF(AND(DAY(Postup!$H$24)=1,MONTH(Postup!$H$24)=1),0,E24*Výpočty!$E$17)</f>
        <v>0</v>
      </c>
      <c r="H24" s="158">
        <f>IF(AND(DAY(Postup!$H$24)=1,MONTH(Postup!$H$24)=1),0,F24*Výpočty!$E$17)</f>
        <v>0</v>
      </c>
      <c r="I24" s="632">
        <v>0</v>
      </c>
      <c r="J24" s="633">
        <v>0</v>
      </c>
      <c r="K24" s="863"/>
      <c r="L24" s="863"/>
      <c r="M24" s="864"/>
      <c r="N24" s="190" t="str">
        <f t="shared" si="11"/>
        <v xml:space="preserve">-  </v>
      </c>
      <c r="O24" s="631">
        <f>Nabídka!F19</f>
        <v>0</v>
      </c>
      <c r="P24" s="631">
        <f>Nabídka!H19</f>
        <v>0.28999999999999998</v>
      </c>
      <c r="Q24" s="632">
        <v>0</v>
      </c>
      <c r="R24" s="633">
        <v>0</v>
      </c>
      <c r="S24" s="333" t="str">
        <f t="shared" si="12"/>
        <v xml:space="preserve">-  </v>
      </c>
      <c r="T24" s="631">
        <f>Nabídka!F19</f>
        <v>0</v>
      </c>
      <c r="U24" s="631">
        <f>Nabídka!H19</f>
        <v>0.28999999999999998</v>
      </c>
      <c r="V24" s="632">
        <v>0</v>
      </c>
      <c r="W24" s="633">
        <v>0</v>
      </c>
      <c r="X24" s="190" t="str">
        <f t="shared" si="13"/>
        <v xml:space="preserve">-  </v>
      </c>
      <c r="Y24" s="631">
        <f>Nabídka!F19</f>
        <v>0</v>
      </c>
      <c r="Z24" s="631">
        <f>Nabídka!H19</f>
        <v>0.28999999999999998</v>
      </c>
      <c r="AA24" s="632">
        <v>0</v>
      </c>
      <c r="AB24" s="633">
        <v>0</v>
      </c>
      <c r="AC24" s="190" t="str">
        <f t="shared" si="14"/>
        <v xml:space="preserve">-  </v>
      </c>
      <c r="AD24" s="631">
        <f>Nabídka!F19</f>
        <v>0</v>
      </c>
      <c r="AE24" s="631">
        <f>Nabídka!H19</f>
        <v>0.28999999999999998</v>
      </c>
      <c r="AF24" s="632">
        <v>0</v>
      </c>
      <c r="AG24" s="633">
        <v>0</v>
      </c>
      <c r="AH24" s="190" t="str">
        <f t="shared" si="15"/>
        <v xml:space="preserve">-  </v>
      </c>
      <c r="AI24" s="632">
        <f>Nabídka!F19</f>
        <v>0</v>
      </c>
      <c r="AJ24" s="632">
        <f>Nabídka!H19</f>
        <v>0.28999999999999998</v>
      </c>
      <c r="AK24" s="632">
        <v>0</v>
      </c>
      <c r="AL24" s="633">
        <v>0</v>
      </c>
      <c r="AM24" s="190" t="str">
        <f t="shared" si="16"/>
        <v xml:space="preserve">-  </v>
      </c>
      <c r="AN24" s="632">
        <f>Nabídka!F19</f>
        <v>0</v>
      </c>
      <c r="AO24" s="632">
        <f>Nabídka!H19</f>
        <v>0.28999999999999998</v>
      </c>
      <c r="AP24" s="632">
        <v>0</v>
      </c>
      <c r="AQ24" s="633">
        <v>0</v>
      </c>
      <c r="AR24" s="190" t="str">
        <f t="shared" si="17"/>
        <v xml:space="preserve">-  </v>
      </c>
      <c r="AS24" s="632">
        <f>Nabídka!F19</f>
        <v>0</v>
      </c>
      <c r="AT24" s="632">
        <f>Nabídka!H19</f>
        <v>0.28999999999999998</v>
      </c>
      <c r="AU24" s="632">
        <v>0</v>
      </c>
      <c r="AV24" s="633">
        <v>0</v>
      </c>
      <c r="AW24" s="190" t="str">
        <f t="shared" si="18"/>
        <v xml:space="preserve">-  </v>
      </c>
      <c r="AX24" s="632">
        <f>Nabídka!F19</f>
        <v>0</v>
      </c>
      <c r="AY24" s="632">
        <f>Nabídka!H19</f>
        <v>0.28999999999999998</v>
      </c>
      <c r="AZ24" s="632">
        <v>0</v>
      </c>
      <c r="BA24" s="633">
        <v>0</v>
      </c>
      <c r="BB24" s="190" t="str">
        <f t="shared" si="19"/>
        <v xml:space="preserve">-  </v>
      </c>
      <c r="BC24" s="632">
        <f>Nabídka!F19</f>
        <v>0</v>
      </c>
      <c r="BD24" s="632">
        <f>Nabídka!H19</f>
        <v>0.28999999999999998</v>
      </c>
      <c r="BE24" s="632">
        <v>0</v>
      </c>
      <c r="BF24" s="633">
        <v>0</v>
      </c>
      <c r="BG24" s="190" t="str">
        <f t="shared" si="20"/>
        <v xml:space="preserve">-  </v>
      </c>
      <c r="BH24" s="632">
        <f>Nabídka!F19</f>
        <v>0</v>
      </c>
      <c r="BI24" s="632">
        <f>Nabídka!H19</f>
        <v>0.28999999999999998</v>
      </c>
      <c r="BJ24" s="632">
        <v>0</v>
      </c>
      <c r="BK24" s="633">
        <v>0</v>
      </c>
      <c r="BL24" s="636">
        <f>IF(AND(DAY(Postup!$H$25)=31,MONTH(Postup!$H$25)=12),0,INDEX($E24:$BP24,MATCH($BL$55,$E$55:$BP$55,0))*Výpočty!$E$23)</f>
        <v>0</v>
      </c>
      <c r="BM24" s="637">
        <f>IF(AND(DAY(Postup!$H$25)=31,MONTH(Postup!$H$25)=12),0,INDEX($E24:$BP24,MATCH($BM$55,$E$55:$BP$55,0))*Výpočty!$E$23)</f>
        <v>0</v>
      </c>
      <c r="BN24" s="184"/>
      <c r="BO24" s="184"/>
      <c r="BP24" s="184"/>
    </row>
    <row r="25" spans="1:68" x14ac:dyDescent="0.25">
      <c r="A25" s="260"/>
      <c r="B25" s="47" t="s">
        <v>15</v>
      </c>
      <c r="C25" s="42" t="s">
        <v>16</v>
      </c>
      <c r="D25" s="48" t="s">
        <v>134</v>
      </c>
      <c r="E25" s="157">
        <f>Nabídka!F20</f>
        <v>0</v>
      </c>
      <c r="F25" s="148">
        <f>Nabídka!H20</f>
        <v>0</v>
      </c>
      <c r="G25" s="157">
        <f>IF(AND(DAY(Postup!$H$24)=1,MONTH(Postup!$H$24)=1),0,E25*Výpočty!$E$17)</f>
        <v>0</v>
      </c>
      <c r="H25" s="158">
        <f>IF(AND(DAY(Postup!$H$24)=1,MONTH(Postup!$H$24)=1),0,F25*Výpočty!$E$17)</f>
        <v>0</v>
      </c>
      <c r="I25" s="157">
        <f>IF(I$16="Neaktivní",0,Nabídka!$J20*I$47/1000)</f>
        <v>0</v>
      </c>
      <c r="J25" s="158">
        <f>IF(I$16="Neaktivní",0,Nabídka!$K20*(J$49+J$51)/1000)</f>
        <v>0</v>
      </c>
      <c r="K25" s="861" t="s">
        <v>158</v>
      </c>
      <c r="L25" s="861"/>
      <c r="M25" s="862"/>
      <c r="N25" s="190">
        <f t="shared" si="11"/>
        <v>1</v>
      </c>
      <c r="O25" s="157">
        <f>Nabídka!J20*Provozování!O47*Provozování!N25/1000</f>
        <v>0</v>
      </c>
      <c r="P25" s="148">
        <f>Nabídka!K20*(Provozování!P49+Provozování!P51)*Provozování!N25/1000</f>
        <v>0</v>
      </c>
      <c r="Q25" s="157">
        <f>IF(Q$16="Neaktivní",0,Nabídka!$J20*Q$47/1000*N25)</f>
        <v>0</v>
      </c>
      <c r="R25" s="158">
        <f>IF(Q$16="Neaktivní",0,Nabídka!$K20*(R$49+R$51)/1000*N25)</f>
        <v>0</v>
      </c>
      <c r="S25" s="333">
        <f t="shared" si="12"/>
        <v>1</v>
      </c>
      <c r="T25" s="157">
        <f>Nabídka!$J$20*Provozování!T47*Provozování!S25/1000</f>
        <v>0</v>
      </c>
      <c r="U25" s="158">
        <f>Nabídka!$K$20*(Provozování!U49+Provozování!U51)*Provozování!S25/1000</f>
        <v>0</v>
      </c>
      <c r="V25" s="157">
        <f>IF(V$16="Neaktivní",0,Nabídka!$J20*V$47/1000*S25)</f>
        <v>0</v>
      </c>
      <c r="W25" s="158">
        <f>IF(V$16="Neaktivní",0,Nabídka!$K20*(W$49+W$51)/1000*S25)</f>
        <v>0</v>
      </c>
      <c r="X25" s="190">
        <f t="shared" si="13"/>
        <v>1</v>
      </c>
      <c r="Y25" s="157">
        <f>Nabídka!$J$20*Provozování!Y47*Provozování!X25/1000</f>
        <v>0</v>
      </c>
      <c r="Z25" s="158">
        <f>Nabídka!$K$20*(Provozování!Z49+Provozování!Z51)*Provozování!X25/1000</f>
        <v>0</v>
      </c>
      <c r="AA25" s="157">
        <f>IF(AA$16="Neaktivní",0,Nabídka!$J20*AA$47/1000*X25)</f>
        <v>0</v>
      </c>
      <c r="AB25" s="158">
        <f>IF(AA$16="Neaktivní",0,Nabídka!$K20*(AB$49+AB$51)/1000*X25)</f>
        <v>0</v>
      </c>
      <c r="AC25" s="190">
        <f t="shared" si="14"/>
        <v>1</v>
      </c>
      <c r="AD25" s="157">
        <f>Nabídka!$J$20*Provozování!AD47*Provozování!AC25/1000</f>
        <v>0</v>
      </c>
      <c r="AE25" s="158">
        <f>Nabídka!$K$20*(Provozování!AE49+Provozování!AE51)*Provozování!AC25/1000</f>
        <v>0</v>
      </c>
      <c r="AF25" s="157">
        <f>IF(AF$16="Neaktivní",0,Nabídka!$J20*AF$47/1000*AC25)</f>
        <v>0</v>
      </c>
      <c r="AG25" s="158">
        <f>IF(AF$16="Neaktivní",0,Nabídka!$K20*(AG$49+AG$51)/1000*AC25)</f>
        <v>0</v>
      </c>
      <c r="AH25" s="190">
        <f t="shared" si="15"/>
        <v>1</v>
      </c>
      <c r="AI25" s="157">
        <f>Nabídka!$J$20*Provozování!AI47*Provozování!AH25/1000</f>
        <v>0</v>
      </c>
      <c r="AJ25" s="158">
        <f>Nabídka!$K$20*(Provozování!AJ49+Provozování!AJ51)*Provozování!AH25/1000</f>
        <v>0</v>
      </c>
      <c r="AK25" s="157">
        <f>IF(AK$16="Neaktivní",0,Nabídka!$J20*AK$47/1000*AH25)</f>
        <v>0</v>
      </c>
      <c r="AL25" s="158">
        <f>IF(AK$16="Neaktivní",0,Nabídka!$K20*(AL$49+AL$51)/1000*AH25)</f>
        <v>0</v>
      </c>
      <c r="AM25" s="190">
        <f t="shared" si="16"/>
        <v>1</v>
      </c>
      <c r="AN25" s="157">
        <f>Nabídka!$J$20*Provozování!AN47*Provozování!AM25/1000</f>
        <v>0</v>
      </c>
      <c r="AO25" s="158">
        <f>Nabídka!$K$20*(Provozování!AO49+Provozování!AO51)*Provozování!AM25/1000</f>
        <v>0</v>
      </c>
      <c r="AP25" s="157">
        <f>IF(AP$16="Neaktivní",0,Nabídka!$J20*AP$47/1000*AM25)</f>
        <v>0</v>
      </c>
      <c r="AQ25" s="158">
        <f>IF(AP$16="Neaktivní",0,Nabídka!$K20*(AQ$49+AQ$51)/1000*AM25)</f>
        <v>0</v>
      </c>
      <c r="AR25" s="190">
        <f t="shared" si="17"/>
        <v>1</v>
      </c>
      <c r="AS25" s="157">
        <f>Nabídka!$J$20*Provozování!AS47*Provozování!AR25/1000</f>
        <v>0</v>
      </c>
      <c r="AT25" s="148">
        <f>Nabídka!$K$20*(Provozování!AT49+Provozování!AT51)*Provozování!AR25/1000</f>
        <v>0</v>
      </c>
      <c r="AU25" s="157">
        <f>IF(AU$16="Neaktivní",0,Nabídka!$J20*AU$47/1000*AR25)</f>
        <v>0</v>
      </c>
      <c r="AV25" s="158">
        <f>IF(AU$16="Neaktivní",0,Nabídka!$K20*(AV$49+AV$51)/1000*AR25)</f>
        <v>0</v>
      </c>
      <c r="AW25" s="190">
        <f t="shared" si="18"/>
        <v>1</v>
      </c>
      <c r="AX25" s="157">
        <f>Nabídka!$J$20*Provozování!AX47*Provozování!AW25/1000</f>
        <v>0</v>
      </c>
      <c r="AY25" s="148">
        <f>Nabídka!$K$20*(Provozování!AY49+Provozování!AY51)*Provozování!AW25/1000</f>
        <v>0</v>
      </c>
      <c r="AZ25" s="157">
        <f>IF(AZ$16="Neaktivní",0,Nabídka!$J20*AZ$47/1000*AW25)</f>
        <v>0</v>
      </c>
      <c r="BA25" s="158">
        <f>IF(AZ$16="Neaktivní",0,Nabídka!$K20*(BA$49+BA$51)/1000*AW25)</f>
        <v>0</v>
      </c>
      <c r="BB25" s="190">
        <f t="shared" si="19"/>
        <v>1</v>
      </c>
      <c r="BC25" s="157">
        <f>Nabídka!$J$20*Provozování!BC47*Provozování!BB25/1000</f>
        <v>0</v>
      </c>
      <c r="BD25" s="148">
        <f>Nabídka!$K$20*(Provozování!BD49+Provozování!BD51)*Provozování!BB25/1000</f>
        <v>0</v>
      </c>
      <c r="BE25" s="157">
        <f>IF(BE$16="Neaktivní",0,Nabídka!$J20*BE$47/1000*BB25)</f>
        <v>0</v>
      </c>
      <c r="BF25" s="158">
        <f>IF(BE$16="Neaktivní",0,Nabídka!$K20*(BF$49+BF$51)/1000*BB25)</f>
        <v>0</v>
      </c>
      <c r="BG25" s="190">
        <f t="shared" si="20"/>
        <v>1</v>
      </c>
      <c r="BH25" s="157">
        <f>Nabídka!$J$20*Provozování!BH47*Provozování!BG25/1000</f>
        <v>0</v>
      </c>
      <c r="BI25" s="148">
        <f>Nabídka!$K$20*(Provozování!BI49+Provozování!BI51)*Provozování!BG25/1000</f>
        <v>0</v>
      </c>
      <c r="BJ25" s="157">
        <f>IF(BJ$16="Neaktivní",0,Nabídka!$J20*BJ$47/1000*BG25)</f>
        <v>0</v>
      </c>
      <c r="BK25" s="158">
        <f>IF(BJ$16="Neaktivní",0,Nabídka!$K20*(BK$49+BK$51)/1000*BG25)</f>
        <v>0</v>
      </c>
      <c r="BL25" s="419">
        <f>IF(AND(DAY(Postup!$H$25)=31,MONTH(Postup!$H$25)=12),0,INDEX($E25:$BP25,MATCH($BL$55,$E$55:$BP$55,0))*Výpočty!$E$23)</f>
        <v>0</v>
      </c>
      <c r="BM25" s="158">
        <f>IF(AND(DAY(Postup!$H$25)=31,MONTH(Postup!$H$25)=12),0,INDEX($E25:$BP25,MATCH($BM$55,$E$55:$BP$55,0))*Výpočty!$E$23)</f>
        <v>0</v>
      </c>
      <c r="BN25" s="184"/>
      <c r="BO25" s="184"/>
      <c r="BP25" s="184"/>
    </row>
    <row r="26" spans="1:68" x14ac:dyDescent="0.25">
      <c r="A26" s="260"/>
      <c r="B26" s="47" t="s">
        <v>17</v>
      </c>
      <c r="C26" s="42" t="s">
        <v>18</v>
      </c>
      <c r="D26" s="48" t="s">
        <v>134</v>
      </c>
      <c r="E26" s="157">
        <f>Nabídka!F21</f>
        <v>0</v>
      </c>
      <c r="F26" s="148">
        <f>Nabídka!H21</f>
        <v>0</v>
      </c>
      <c r="G26" s="157">
        <f>IF(AND(DAY(Postup!$H$24)=1,MONTH(Postup!$H$24)=1),0,E26*Výpočty!$E$17)</f>
        <v>0</v>
      </c>
      <c r="H26" s="158">
        <f>IF(AND(DAY(Postup!$H$24)=1,MONTH(Postup!$H$24)=1),0,F26*Výpočty!$E$17)</f>
        <v>0</v>
      </c>
      <c r="I26" s="157">
        <f>IF(I$16="Neaktivní",0,IF(ISBLANK($J$17),0,($E26+(Nabídka!$J21*I$56*$E$47/1000))*Výpočty!$H$53))</f>
        <v>0</v>
      </c>
      <c r="J26" s="158">
        <f>IF(I$16="Neaktivní",0,IF(ISBLANK($J$17),0,($F26+(Nabídka!$K21*J$56*($F$49+$F$51)/1000))*Výpočty!$H$53))</f>
        <v>0</v>
      </c>
      <c r="K26" s="861" t="s">
        <v>158</v>
      </c>
      <c r="L26" s="861"/>
      <c r="M26" s="862"/>
      <c r="N26" s="190">
        <f t="shared" si="11"/>
        <v>1</v>
      </c>
      <c r="O26" s="157">
        <f>($E26+(Nabídka!$J21*O$56*$E$47/1000))*N26</f>
        <v>0</v>
      </c>
      <c r="P26" s="148">
        <f>($F26+(Nabídka!$K21*P$56*($F$49+$F$51)/1000))*N26</f>
        <v>0</v>
      </c>
      <c r="Q26" s="157">
        <f>IF(Q$16="Neaktivní",0,IF(ISBLANK($R$17),0,($E26+(Nabídka!$J21*Q$56*$E$47/1000))*Výpočty!$I$53*N26))</f>
        <v>0</v>
      </c>
      <c r="R26" s="158">
        <f>IF(Q$16="Neaktivní",0,IF(ISBLANK($R$17),0,($F26+(Nabídka!$K21*R$56*($F$49+$F$51)/1000))*Výpočty!$I$53*N26))</f>
        <v>0</v>
      </c>
      <c r="S26" s="333">
        <f t="shared" si="12"/>
        <v>1</v>
      </c>
      <c r="T26" s="157">
        <f>($E26+(Nabídka!$J21*T$56*$E$47/1000))*S26</f>
        <v>0</v>
      </c>
      <c r="U26" s="158">
        <f>($F26+(Nabídka!$K21*U$56*($F$49+$F$51)/1000))*S26</f>
        <v>0</v>
      </c>
      <c r="V26" s="157">
        <f>IF(V$16="Neaktivní",0,IF(ISBLANK($W$17),0,($E26+(Nabídka!$J21*V$56*$E$47/1000))*Výpočty!$J$53*S26))</f>
        <v>0</v>
      </c>
      <c r="W26" s="158">
        <f>IF(V$16="Neaktivní",0,IF(ISBLANK($W$17),0,($F26+(Nabídka!$K21*W$56*($F$49+$F$51)/1000))*Výpočty!$J$53*S26))</f>
        <v>0</v>
      </c>
      <c r="X26" s="190">
        <f t="shared" si="13"/>
        <v>1</v>
      </c>
      <c r="Y26" s="157">
        <f>($E26+(Nabídka!$J21*Y$56*$E$47/1000))*X26</f>
        <v>0</v>
      </c>
      <c r="Z26" s="158">
        <f>($F26+(Nabídka!$K21*Z$56*($F$49+$F$51)/1000))*X26</f>
        <v>0</v>
      </c>
      <c r="AA26" s="157">
        <f>IF(AA$16="Neaktivní",0,IF(ISBLANK($AB$17),0,($E26+(Nabídka!$J21*AA$56*$E$47/1000))*Výpočty!$K$53*X26))</f>
        <v>0</v>
      </c>
      <c r="AB26" s="158">
        <f>IF(AA$16="Neaktivní",0,IF(ISBLANK($AB$17),0,($F26+(Nabídka!$K21*AB$56*($F$49+$F$51)/1000))*Výpočty!$K$53*X26))</f>
        <v>0</v>
      </c>
      <c r="AC26" s="190">
        <f t="shared" si="14"/>
        <v>1</v>
      </c>
      <c r="AD26" s="157">
        <f>($E26+(Nabídka!$J21*AD$56*$E$47/1000))*AC26</f>
        <v>0</v>
      </c>
      <c r="AE26" s="158">
        <f>($F26+(Nabídka!$K21*AE$56*($F$49+$F$51)/1000))*AC26</f>
        <v>0</v>
      </c>
      <c r="AF26" s="157">
        <f>IF(AF$16="Neaktivní",0,IF(ISBLANK($AG$17),0,($E26+(Nabídka!$J21*AF$56*$E$47/1000))*Výpočty!$L$53*AC26))</f>
        <v>0</v>
      </c>
      <c r="AG26" s="158">
        <f>IF(AF$16="Neaktivní",0,IF(ISBLANK($AG$17),0,($F26+(Nabídka!$K21*AG$56*($F$49+$F$51)/1000))*Výpočty!$L$53*AC26))</f>
        <v>0</v>
      </c>
      <c r="AH26" s="190">
        <f t="shared" si="15"/>
        <v>1</v>
      </c>
      <c r="AI26" s="157">
        <f>($E26+(Nabídka!$J21*AI$56*$E$47/1000))*AH26</f>
        <v>0</v>
      </c>
      <c r="AJ26" s="158">
        <f>($F26+(Nabídka!$K21*AJ$56*($F$49+$F$51)/1000))*AH26</f>
        <v>0</v>
      </c>
      <c r="AK26" s="157">
        <f>IF(AK$16="Neaktivní",0,IF(ISBLANK($AG$17),0,($E26+(Nabídka!$J21*AK$56*$E$47/1000))*Výpočty!$M$53*AH26))</f>
        <v>0</v>
      </c>
      <c r="AL26" s="158">
        <f>IF(AK$16="Neaktivní",0,IF(ISBLANK($AG$17),0,($F26+(Nabídka!$K21*AL$56*($F$49+$F$51)/1000))*Výpočty!$M$53*AH26))</f>
        <v>0</v>
      </c>
      <c r="AM26" s="190">
        <f t="shared" si="16"/>
        <v>1</v>
      </c>
      <c r="AN26" s="157">
        <f>($E26+(Nabídka!$J21*AN$56*$E$47/1000))*AM26</f>
        <v>0</v>
      </c>
      <c r="AO26" s="158">
        <f>($F26+(Nabídka!$K21*AO$56*($F$49+$F$51)/1000))*AM26</f>
        <v>0</v>
      </c>
      <c r="AP26" s="157">
        <f>IF(AP$16="Neaktivní",0,IF(ISBLANK($AQ$17),0,($E26+(Nabídka!$J21*AP$56*$E$47/1000))*Výpočty!$N$53*AM26))</f>
        <v>0</v>
      </c>
      <c r="AQ26" s="158">
        <f>IF(AP$16="Neaktivní",0,IF(ISBLANK($AQ$17),0,($F26+(Nabídka!$K21*AQ$56*($F$49+$F$51)/1000))*Výpočty!$N$53*AM26))</f>
        <v>0</v>
      </c>
      <c r="AR26" s="190">
        <f t="shared" si="17"/>
        <v>1</v>
      </c>
      <c r="AS26" s="157">
        <f>($E26+(Nabídka!$J21*AS$56*$E$47/1000))*AR26</f>
        <v>0</v>
      </c>
      <c r="AT26" s="148">
        <f>($F26+(Nabídka!$K21*AT$56*($F$49+$F$51)/1000))*AR26</f>
        <v>0</v>
      </c>
      <c r="AU26" s="157">
        <f>IF(AU$16="Neaktivní",0,IF(ISBLANK($AV$17),0,($E26+(Nabídka!$J21*AU$56*$E$47/1000))*Výpočty!$O$53*AR26))</f>
        <v>0</v>
      </c>
      <c r="AV26" s="158">
        <f>IF(AU$16="Neaktivní",0,IF(ISBLANK($AV$17),0,($F26+(Nabídka!$K21*AV$56*($F$49+$F$51)/1000))*Výpočty!$O$53*AR26))</f>
        <v>0</v>
      </c>
      <c r="AW26" s="190">
        <f t="shared" si="18"/>
        <v>1</v>
      </c>
      <c r="AX26" s="157">
        <f>($E26+(Nabídka!$J21*AX$56*$E$47/1000))*AW26</f>
        <v>0</v>
      </c>
      <c r="AY26" s="148">
        <f>($F26+(Nabídka!$K21*AY$56*($F$49+$F$51)/1000))*AW26</f>
        <v>0</v>
      </c>
      <c r="AZ26" s="157">
        <f>IF(AZ$16="Neaktivní",0,IF(ISBLANK($BA$17),0,($E26+(Nabídka!$J21*AZ$56*$E$47/1000))*Výpočty!$P$53*AW26))</f>
        <v>0</v>
      </c>
      <c r="BA26" s="158">
        <f>IF(AZ$16="Neaktivní",0,IF(ISBLANK($BA$17),0,($F26+(Nabídka!$K21*BA$56*($F$49+$F$51)/1000))*Výpočty!$P$53*AW26))</f>
        <v>0</v>
      </c>
      <c r="BB26" s="190">
        <f t="shared" si="19"/>
        <v>1</v>
      </c>
      <c r="BC26" s="157">
        <f>($E26+(Nabídka!$J21*BC$56*$E$47/1000))*BB26</f>
        <v>0</v>
      </c>
      <c r="BD26" s="148">
        <f>($F26+(Nabídka!$K21*BD$56*($F$49+$F$51)/1000))*BB26</f>
        <v>0</v>
      </c>
      <c r="BE26" s="157">
        <f>IF(BE$16="Neaktivní",0,IF(ISBLANK($BF$17),0,($E26+(Nabídka!$J21*BE$56*$E$47/1000))*Výpočty!$Q$53*BB26))</f>
        <v>0</v>
      </c>
      <c r="BF26" s="158">
        <f>IF(BE$16="Neaktivní",0,IF(ISBLANK($BF$17),0,($F26+(Nabídka!$K21*BF$56*($F$49+$F$51)/1000))*Výpočty!$Q$53*BB26))</f>
        <v>0</v>
      </c>
      <c r="BG26" s="190">
        <f t="shared" si="20"/>
        <v>1</v>
      </c>
      <c r="BH26" s="157">
        <f>($E26+(Nabídka!$J21*BH$56*$E$47/1000))*BG26</f>
        <v>0</v>
      </c>
      <c r="BI26" s="148">
        <f>($F26+(Nabídka!$K21*BI$56*($F$49+$F$51)/1000))*BG26</f>
        <v>0</v>
      </c>
      <c r="BJ26" s="157">
        <f>IF(BJ$16="Neaktivní",0,IF(ISBLANK($BK$17),0,($E26+(Nabídka!$J21*BJ$56*$E$47/1000))*Výpočty!$R$53*BG26))</f>
        <v>0</v>
      </c>
      <c r="BK26" s="158">
        <f>IF(BJ$16="Neaktivní",0,IF(ISBLANK($BK$17),0,($F26+(Nabídka!$K21*BK$56*($F$49+$F$51)/1000))*Výpočty!$R$53*BG26))</f>
        <v>0</v>
      </c>
      <c r="BL26" s="419">
        <f>IF(AND(DAY(Postup!$H$25)=31,MONTH(Postup!$H$25)=12),0,INDEX($E26:$BP26,MATCH($BL$55,$E$55:$BP$55,0))*Výpočty!$E$23)</f>
        <v>0</v>
      </c>
      <c r="BM26" s="158">
        <f>IF(AND(DAY(Postup!$H$25)=31,MONTH(Postup!$H$25)=12),0,INDEX($E26:$BP26,MATCH($BM$55,$E$55:$BP$55,0))*Výpočty!$E$23)</f>
        <v>0</v>
      </c>
      <c r="BN26" s="184"/>
      <c r="BO26" s="184"/>
      <c r="BP26" s="184"/>
    </row>
    <row r="27" spans="1:68" x14ac:dyDescent="0.25">
      <c r="A27" s="260"/>
      <c r="B27" s="44" t="s">
        <v>19</v>
      </c>
      <c r="C27" s="45" t="s">
        <v>20</v>
      </c>
      <c r="D27" s="191" t="s">
        <v>134</v>
      </c>
      <c r="E27" s="155">
        <f t="shared" ref="E27:J27" si="22">SUM(E28:E29)</f>
        <v>0</v>
      </c>
      <c r="F27" s="159">
        <f t="shared" si="22"/>
        <v>0</v>
      </c>
      <c r="G27" s="155">
        <f t="shared" si="22"/>
        <v>0</v>
      </c>
      <c r="H27" s="156">
        <f t="shared" si="22"/>
        <v>0</v>
      </c>
      <c r="I27" s="155">
        <f t="shared" si="22"/>
        <v>0</v>
      </c>
      <c r="J27" s="156">
        <f t="shared" si="22"/>
        <v>0</v>
      </c>
      <c r="K27" s="863"/>
      <c r="L27" s="863"/>
      <c r="M27" s="864"/>
      <c r="N27" s="190" t="str">
        <f t="shared" si="11"/>
        <v xml:space="preserve">-  </v>
      </c>
      <c r="O27" s="155">
        <f>SUM(O28:O29)</f>
        <v>0</v>
      </c>
      <c r="P27" s="159">
        <f>SUM(P28:P29)</f>
        <v>0</v>
      </c>
      <c r="Q27" s="155">
        <f>SUM(Q28:Q29)</f>
        <v>0</v>
      </c>
      <c r="R27" s="156">
        <f>SUM(R28:R29)</f>
        <v>0</v>
      </c>
      <c r="S27" s="333" t="str">
        <f t="shared" si="12"/>
        <v xml:space="preserve">-  </v>
      </c>
      <c r="T27" s="155">
        <f>SUM(T28:T29)</f>
        <v>0</v>
      </c>
      <c r="U27" s="156">
        <f>SUM(U28:U29)</f>
        <v>0</v>
      </c>
      <c r="V27" s="155">
        <f>SUM(V28:V29)</f>
        <v>0</v>
      </c>
      <c r="W27" s="156">
        <f>SUM(W28:W29)</f>
        <v>0</v>
      </c>
      <c r="X27" s="190" t="str">
        <f t="shared" si="13"/>
        <v xml:space="preserve">-  </v>
      </c>
      <c r="Y27" s="155">
        <f>SUM(Y28:Y29)</f>
        <v>0</v>
      </c>
      <c r="Z27" s="156">
        <f>SUM(Z28:Z29)</f>
        <v>0</v>
      </c>
      <c r="AA27" s="155">
        <f>SUM(AA28:AA29)</f>
        <v>0</v>
      </c>
      <c r="AB27" s="156">
        <f>SUM(AB28:AB29)</f>
        <v>0</v>
      </c>
      <c r="AC27" s="190" t="str">
        <f t="shared" si="14"/>
        <v xml:space="preserve">-  </v>
      </c>
      <c r="AD27" s="155">
        <f>SUM(AD28:AD29)</f>
        <v>0</v>
      </c>
      <c r="AE27" s="156">
        <f>SUM(AE28:AE29)</f>
        <v>0</v>
      </c>
      <c r="AF27" s="155">
        <f>SUM(AF28:AF29)</f>
        <v>0</v>
      </c>
      <c r="AG27" s="156">
        <f>SUM(AG28:AG29)</f>
        <v>0</v>
      </c>
      <c r="AH27" s="190" t="str">
        <f t="shared" si="15"/>
        <v xml:space="preserve">-  </v>
      </c>
      <c r="AI27" s="155">
        <f>SUM(AI28:AI29)</f>
        <v>0</v>
      </c>
      <c r="AJ27" s="156">
        <f>SUM(AJ28:AJ29)</f>
        <v>0</v>
      </c>
      <c r="AK27" s="155">
        <f>SUM(AK28:AK29)</f>
        <v>0</v>
      </c>
      <c r="AL27" s="156">
        <f>SUM(AL28:AL29)</f>
        <v>0</v>
      </c>
      <c r="AM27" s="190" t="str">
        <f t="shared" si="16"/>
        <v xml:space="preserve">-  </v>
      </c>
      <c r="AN27" s="155">
        <f>SUM(AN28:AN29)</f>
        <v>0</v>
      </c>
      <c r="AO27" s="156">
        <f>SUM(AO28:AO29)</f>
        <v>0</v>
      </c>
      <c r="AP27" s="155">
        <f>SUM(AP28:AP29)</f>
        <v>0</v>
      </c>
      <c r="AQ27" s="156">
        <f>SUM(AQ28:AQ29)</f>
        <v>0</v>
      </c>
      <c r="AR27" s="190" t="str">
        <f t="shared" si="17"/>
        <v xml:space="preserve">-  </v>
      </c>
      <c r="AS27" s="155">
        <f>SUM(AS28:AS29)</f>
        <v>0</v>
      </c>
      <c r="AT27" s="159">
        <f>SUM(AT28:AT29)</f>
        <v>0</v>
      </c>
      <c r="AU27" s="155">
        <f>SUM(AU28:AU29)</f>
        <v>0</v>
      </c>
      <c r="AV27" s="156">
        <f>SUM(AV28:AV29)</f>
        <v>0</v>
      </c>
      <c r="AW27" s="190" t="str">
        <f t="shared" si="18"/>
        <v xml:space="preserve">-  </v>
      </c>
      <c r="AX27" s="155">
        <f>SUM(AX28:AX29)</f>
        <v>0</v>
      </c>
      <c r="AY27" s="159">
        <f>SUM(AY28:AY29)</f>
        <v>0</v>
      </c>
      <c r="AZ27" s="155">
        <f>SUM(AZ28:AZ29)</f>
        <v>0</v>
      </c>
      <c r="BA27" s="156">
        <f>SUM(BA28:BA29)</f>
        <v>0</v>
      </c>
      <c r="BB27" s="190" t="str">
        <f t="shared" si="19"/>
        <v xml:space="preserve">-  </v>
      </c>
      <c r="BC27" s="155">
        <f>SUM(BC28:BC29)</f>
        <v>0</v>
      </c>
      <c r="BD27" s="159">
        <f>SUM(BD28:BD29)</f>
        <v>0</v>
      </c>
      <c r="BE27" s="155">
        <f>SUM(BE28:BE29)</f>
        <v>0</v>
      </c>
      <c r="BF27" s="156">
        <f>SUM(BF28:BF29)</f>
        <v>0</v>
      </c>
      <c r="BG27" s="190" t="str">
        <f t="shared" si="20"/>
        <v xml:space="preserve">-  </v>
      </c>
      <c r="BH27" s="155">
        <f t="shared" ref="BH27:BM27" si="23">SUM(BH28:BH29)</f>
        <v>0</v>
      </c>
      <c r="BI27" s="159">
        <f t="shared" si="23"/>
        <v>0</v>
      </c>
      <c r="BJ27" s="155">
        <f t="shared" si="23"/>
        <v>0</v>
      </c>
      <c r="BK27" s="156">
        <f t="shared" si="23"/>
        <v>0</v>
      </c>
      <c r="BL27" s="420">
        <f t="shared" si="23"/>
        <v>0</v>
      </c>
      <c r="BM27" s="156">
        <f t="shared" si="23"/>
        <v>0</v>
      </c>
      <c r="BN27" s="421"/>
      <c r="BO27" s="421"/>
      <c r="BP27" s="421"/>
    </row>
    <row r="28" spans="1:68" x14ac:dyDescent="0.25">
      <c r="A28" s="260"/>
      <c r="B28" s="47" t="s">
        <v>21</v>
      </c>
      <c r="C28" s="47" t="s">
        <v>22</v>
      </c>
      <c r="D28" s="48" t="s">
        <v>134</v>
      </c>
      <c r="E28" s="157">
        <f>Nabídka!F23</f>
        <v>0</v>
      </c>
      <c r="F28" s="148">
        <f>Nabídka!H23</f>
        <v>0</v>
      </c>
      <c r="G28" s="157">
        <f>IF(AND(DAY(Postup!$H$24)=1,MONTH(Postup!$H$24)=1),0,E28*Výpočty!$E$17)</f>
        <v>0</v>
      </c>
      <c r="H28" s="158">
        <f>IF(AND(DAY(Postup!$H$24)=1,MONTH(Postup!$H$24)=1),0,F28*Výpočty!$E$17)</f>
        <v>0</v>
      </c>
      <c r="I28" s="157">
        <f>IF(I$16="Neaktivní",0,Nabídka!J23*I$47/1000)</f>
        <v>0</v>
      </c>
      <c r="J28" s="158">
        <f>IF(I$16="Neaktivní",0,Nabídka!K23*(J$49+J$51)/1000)</f>
        <v>0</v>
      </c>
      <c r="K28" s="861" t="s">
        <v>159</v>
      </c>
      <c r="L28" s="861"/>
      <c r="M28" s="862"/>
      <c r="N28" s="190">
        <f t="shared" si="11"/>
        <v>1</v>
      </c>
      <c r="O28" s="157">
        <f>Nabídka!J23*Provozování!O47*Provozování!N28/1000</f>
        <v>0</v>
      </c>
      <c r="P28" s="148">
        <f>Nabídka!K23*(Provozování!P49+Provozování!P51)*Provozování!N28/1000</f>
        <v>0</v>
      </c>
      <c r="Q28" s="157">
        <f>IF(Q$16="Neaktivní",0,Nabídka!$J23*Q$47/1000*N28)</f>
        <v>0</v>
      </c>
      <c r="R28" s="158">
        <f>IF(Q$16="Neaktivní",0,Nabídka!$K23*(R$49+R$51)/1000*N28)</f>
        <v>0</v>
      </c>
      <c r="S28" s="333">
        <f t="shared" si="12"/>
        <v>1</v>
      </c>
      <c r="T28" s="157">
        <f>Nabídka!$J$23*Provozování!T47*Provozování!S28/1000</f>
        <v>0</v>
      </c>
      <c r="U28" s="158">
        <f>Nabídka!$K$23*(Provozování!U49+Provozování!U51)*Provozování!S28/1000</f>
        <v>0</v>
      </c>
      <c r="V28" s="157">
        <f>IF(V$16="Neaktivní",0,Nabídka!$J23*V$47/1000*S28)</f>
        <v>0</v>
      </c>
      <c r="W28" s="158">
        <f>IF(V$16="Neaktivní",0,Nabídka!$K23*(W$49+W$51)/1000*S28)</f>
        <v>0</v>
      </c>
      <c r="X28" s="190">
        <f t="shared" si="13"/>
        <v>1</v>
      </c>
      <c r="Y28" s="157">
        <f>Nabídka!$J$23*Provozování!Y47*Provozování!X28/1000</f>
        <v>0</v>
      </c>
      <c r="Z28" s="158">
        <f>Nabídka!$K$23*(Provozování!Z49+Provozování!Z51)*Provozování!X28/1000</f>
        <v>0</v>
      </c>
      <c r="AA28" s="157">
        <f>IF(AA$16="Neaktivní",0,Nabídka!$J23*AA$47/1000*X28)</f>
        <v>0</v>
      </c>
      <c r="AB28" s="158">
        <f>IF(AA$16="Neaktivní",0,Nabídka!$K23*(AB$49+AB$51)/1000*X28)</f>
        <v>0</v>
      </c>
      <c r="AC28" s="190">
        <f t="shared" si="14"/>
        <v>1</v>
      </c>
      <c r="AD28" s="157">
        <f>Nabídka!$J$23*Provozování!AD47*Provozování!AC28/1000</f>
        <v>0</v>
      </c>
      <c r="AE28" s="158">
        <f>Nabídka!$K$23*(Provozování!AE49+Provozování!AE51)*Provozování!AC28/1000</f>
        <v>0</v>
      </c>
      <c r="AF28" s="157">
        <f>IF(AF$16="Neaktivní",0,Nabídka!$J23*AF$47/1000*AC28)</f>
        <v>0</v>
      </c>
      <c r="AG28" s="158">
        <f>IF(AF$16="Neaktivní",0,Nabídka!$K23*(AG$49+AG$51)/1000*AC28)</f>
        <v>0</v>
      </c>
      <c r="AH28" s="190">
        <f t="shared" si="15"/>
        <v>1</v>
      </c>
      <c r="AI28" s="157">
        <f>Nabídka!$J$23*Provozování!AI47*Provozování!AH28/1000</f>
        <v>0</v>
      </c>
      <c r="AJ28" s="158">
        <f>Nabídka!$K$23*(Provozování!AJ49+Provozování!AJ51)*Provozování!AH28/1000</f>
        <v>0</v>
      </c>
      <c r="AK28" s="157">
        <f>IF(AK$16="Neaktivní",0,Nabídka!$J23*AK$47/1000*AH28)</f>
        <v>0</v>
      </c>
      <c r="AL28" s="158">
        <f>IF(AK$16="Neaktivní",0,Nabídka!$K23*(AL$49+AL$51)/1000*AH28)</f>
        <v>0</v>
      </c>
      <c r="AM28" s="190">
        <f t="shared" si="16"/>
        <v>1</v>
      </c>
      <c r="AN28" s="157">
        <f>Nabídka!$J$23*Provozování!AN47*Provozování!AM28/1000</f>
        <v>0</v>
      </c>
      <c r="AO28" s="158">
        <f>Nabídka!$K$23*(Provozování!AO49+Provozování!AO51)*Provozování!AM28/1000</f>
        <v>0</v>
      </c>
      <c r="AP28" s="157">
        <f>IF(AP$16="Neaktivní",0,Nabídka!$J23*AP$47/1000*AM28)</f>
        <v>0</v>
      </c>
      <c r="AQ28" s="158">
        <f>IF(AP$16="Neaktivní",0,Nabídka!$K23*(AQ$49+AQ$51)/1000*AM28)</f>
        <v>0</v>
      </c>
      <c r="AR28" s="190">
        <f t="shared" si="17"/>
        <v>1</v>
      </c>
      <c r="AS28" s="157">
        <f>Nabídka!$J$23*Provozování!AS47*Provozování!AR28/1000</f>
        <v>0</v>
      </c>
      <c r="AT28" s="148">
        <f>Nabídka!$K$23*(Provozování!AT49+Provozování!AT51)*Provozování!AR28/1000</f>
        <v>0</v>
      </c>
      <c r="AU28" s="157">
        <f>IF(AU$16="Neaktivní",0,Nabídka!$J23*AU$47/1000*AR28)</f>
        <v>0</v>
      </c>
      <c r="AV28" s="158">
        <f>IF(AU$16="Neaktivní",0,Nabídka!$K23*(AV$49+AV$51)/1000*AR28)</f>
        <v>0</v>
      </c>
      <c r="AW28" s="190">
        <f t="shared" si="18"/>
        <v>1</v>
      </c>
      <c r="AX28" s="157">
        <f>Nabídka!$J$23*Provozování!AX47*Provozování!AW28/1000</f>
        <v>0</v>
      </c>
      <c r="AY28" s="148">
        <f>Nabídka!$K$23*(Provozování!AY49+Provozování!AY51)*Provozování!AW28/1000</f>
        <v>0</v>
      </c>
      <c r="AZ28" s="157">
        <f>IF(AZ$16="Neaktivní",0,Nabídka!$J23*AZ$47/1000*AW28)</f>
        <v>0</v>
      </c>
      <c r="BA28" s="158">
        <f>IF(AZ$16="Neaktivní",0,Nabídka!$K23*(BA$49+BA$51)/1000*AW28)</f>
        <v>0</v>
      </c>
      <c r="BB28" s="190">
        <f t="shared" si="19"/>
        <v>1</v>
      </c>
      <c r="BC28" s="157">
        <f>Nabídka!$J$23*Provozování!BC47*Provozování!BB28/1000</f>
        <v>0</v>
      </c>
      <c r="BD28" s="148">
        <f>Nabídka!$K$23*(Provozování!BD49+Provozování!BD51)*Provozování!BB28/1000</f>
        <v>0</v>
      </c>
      <c r="BE28" s="157">
        <f>IF(BE$16="Neaktivní",0,Nabídka!$J23*BE$47/1000*BB28)</f>
        <v>0</v>
      </c>
      <c r="BF28" s="158">
        <f>IF(BE$16="Neaktivní",0,Nabídka!$K23*(BF$49+BF$51)/1000*BB28)</f>
        <v>0</v>
      </c>
      <c r="BG28" s="190">
        <f t="shared" si="20"/>
        <v>1</v>
      </c>
      <c r="BH28" s="157">
        <f>Nabídka!$J$23*Provozování!BH47*Provozování!BG28/1000</f>
        <v>0</v>
      </c>
      <c r="BI28" s="148">
        <f>Nabídka!$K$23*(Provozování!BI49+Provozování!BI51)*Provozování!BG28/1000</f>
        <v>0</v>
      </c>
      <c r="BJ28" s="157">
        <f>IF(BJ$16="Neaktivní",0,Nabídka!$J23*BJ$47/1000*BG28)</f>
        <v>0</v>
      </c>
      <c r="BK28" s="158">
        <f>IF(BJ$16="Neaktivní",0,Nabídka!$K23*(BK$49+BK$51)/1000*BG28)</f>
        <v>0</v>
      </c>
      <c r="BL28" s="419">
        <f>IF(AND(DAY(Postup!$H$25)=31,MONTH(Postup!$H$25)=12),0,INDEX($E28:$BP28,MATCH($BL$55,$E$55:$BP$55,0))*Výpočty!$E$23)</f>
        <v>0</v>
      </c>
      <c r="BM28" s="158">
        <f>IF(AND(DAY(Postup!$H$25)=31,MONTH(Postup!$H$25)=12),0,INDEX($E28:$BP28,MATCH($BM$55,$E$55:$BP$55,0))*Výpočty!$E$23)</f>
        <v>0</v>
      </c>
      <c r="BN28" s="184"/>
      <c r="BO28" s="184"/>
      <c r="BP28" s="184"/>
    </row>
    <row r="29" spans="1:68" x14ac:dyDescent="0.25">
      <c r="A29" s="260"/>
      <c r="B29" s="47" t="s">
        <v>23</v>
      </c>
      <c r="C29" s="47" t="s">
        <v>24</v>
      </c>
      <c r="D29" s="48" t="s">
        <v>134</v>
      </c>
      <c r="E29" s="157">
        <f>Nabídka!F24</f>
        <v>0</v>
      </c>
      <c r="F29" s="148">
        <f>Nabídka!H24</f>
        <v>0</v>
      </c>
      <c r="G29" s="157">
        <f>IF(AND(DAY(Postup!$H$24)=1,MONTH(Postup!$H$24)=1),0,E29*Výpočty!$E$17)</f>
        <v>0</v>
      </c>
      <c r="H29" s="158">
        <f>IF(AND(DAY(Postup!$H$24)=1,MONTH(Postup!$H$24)=1),0,F29*Výpočty!$E$17)</f>
        <v>0</v>
      </c>
      <c r="I29" s="157">
        <f>IF(I$16="Neaktivní",0,IF(ISBLANK($J$17),0,($E29+(Nabídka!$J24*I$56*$E$47/1000))*Výpočty!$H$53))</f>
        <v>0</v>
      </c>
      <c r="J29" s="158">
        <f>IF(I$16="Neaktivní",0,IF(ISBLANK($J$17),0,($F29+(Nabídka!$K24*J$56*($F$49+$F$51)/1000))*Výpočty!$H$53))</f>
        <v>0</v>
      </c>
      <c r="K29" s="861" t="s">
        <v>160</v>
      </c>
      <c r="L29" s="861"/>
      <c r="M29" s="862"/>
      <c r="N29" s="190">
        <f t="shared" si="11"/>
        <v>1</v>
      </c>
      <c r="O29" s="157">
        <f>($E29+(Nabídka!$J24*O$56*$E$47/1000))*N29</f>
        <v>0</v>
      </c>
      <c r="P29" s="148">
        <f>($F29+(Nabídka!$K24*P$56*($F$49+$F$51)/1000))*N29</f>
        <v>0</v>
      </c>
      <c r="Q29" s="157">
        <f>IF(Q$16="Neaktivní",0,IF(ISBLANK($R$17),0,($E29+(Nabídka!$J24*Q$56*$E$47/1000))*Výpočty!$I$53*N29))</f>
        <v>0</v>
      </c>
      <c r="R29" s="158">
        <f>IF(Q$16="Neaktivní",0,IF(ISBLANK($R$17),0,($F29+(Nabídka!$K24*R$56*($F$49+$F$51)/1000))*Výpočty!$I$53*N29))</f>
        <v>0</v>
      </c>
      <c r="S29" s="333">
        <f t="shared" si="12"/>
        <v>1</v>
      </c>
      <c r="T29" s="157">
        <f>($E29+(Nabídka!$J24*T$56*$E$47/1000))*S29</f>
        <v>0</v>
      </c>
      <c r="U29" s="158">
        <f>($F29+(Nabídka!$K24*U$56*($F$49+$F$51)/1000))*S29</f>
        <v>0</v>
      </c>
      <c r="V29" s="157">
        <f>IF(V$16="Neaktivní",0,IF(ISBLANK($W$17),0,($E29+(Nabídka!$J24*V$56*$E$47/1000))*Výpočty!$J$53*S29))</f>
        <v>0</v>
      </c>
      <c r="W29" s="158">
        <f>IF(V$16="Neaktivní",0,IF(ISBLANK($W$17),0,($F29+(Nabídka!$K24*W$56*($F$49+$F$51)/1000))*Výpočty!$J$53*S29))</f>
        <v>0</v>
      </c>
      <c r="X29" s="190">
        <f t="shared" si="13"/>
        <v>1</v>
      </c>
      <c r="Y29" s="157">
        <f>($E29+(Nabídka!$J24*Y$56*$E$47/1000))*X29</f>
        <v>0</v>
      </c>
      <c r="Z29" s="158">
        <f>($F29+(Nabídka!$K24*Z$56*($F$49+$F$51)/1000))*X29</f>
        <v>0</v>
      </c>
      <c r="AA29" s="157">
        <f>IF(AA$16="Neaktivní",0,IF(ISBLANK($AB$17),0,($E29+(Nabídka!$J24*AA$56*$E$47/1000))*Výpočty!$K$53*X29))</f>
        <v>0</v>
      </c>
      <c r="AB29" s="158">
        <f>IF(AA$16="Neaktivní",0,IF(ISBLANK($AB$17),0,($F29+(Nabídka!$K24*AB$56*($F$49+$F$51)/1000))*Výpočty!$K$53*X29))</f>
        <v>0</v>
      </c>
      <c r="AC29" s="190">
        <f t="shared" si="14"/>
        <v>1</v>
      </c>
      <c r="AD29" s="157">
        <f>($E29+(Nabídka!$J24*AD$56*$E$47/1000))*AC29</f>
        <v>0</v>
      </c>
      <c r="AE29" s="158">
        <f>($F29+(Nabídka!$K24*AE$56*($F$49+$F$51)/1000))*AC29</f>
        <v>0</v>
      </c>
      <c r="AF29" s="157">
        <f>IF(AF$16="Neaktivní",0,IF(ISBLANK($AG$17),0,($E29+(Nabídka!$J24*AF$56*$E$47/1000))*Výpočty!$L$53*AC29))</f>
        <v>0</v>
      </c>
      <c r="AG29" s="158">
        <f>IF(AF$16="Neaktivní",0,IF(ISBLANK($AG$17),0,($F29+(Nabídka!$K24*AG$56*($F$49+$F$51)/1000))*Výpočty!$L$53*AC29))</f>
        <v>0</v>
      </c>
      <c r="AH29" s="190">
        <f t="shared" si="15"/>
        <v>1</v>
      </c>
      <c r="AI29" s="157">
        <f>($E29+(Nabídka!$J24*AI$56*$E$47/1000))*AH29</f>
        <v>0</v>
      </c>
      <c r="AJ29" s="158">
        <f>($F29+(Nabídka!$K24*AJ$56*($F$49+$F$51)/1000))*AH29</f>
        <v>0</v>
      </c>
      <c r="AK29" s="157">
        <f>IF(AK$16="Neaktivní",0,IF(ISBLANK($AG$17),0,($E29+(Nabídka!$J24*AK$56*$E$47/1000))*Výpočty!$M$53*AH29))</f>
        <v>0</v>
      </c>
      <c r="AL29" s="158">
        <f>IF(AK$16="Neaktivní",0,IF(ISBLANK($AG$17),0,($F29+(Nabídka!$K24*AL$56*($F$49+$F$51)/1000))*Výpočty!$M$53*AH29))</f>
        <v>0</v>
      </c>
      <c r="AM29" s="190">
        <f t="shared" si="16"/>
        <v>1</v>
      </c>
      <c r="AN29" s="157">
        <f>($E29+(Nabídka!$J24*AN$56*$E$47/1000))*AM29</f>
        <v>0</v>
      </c>
      <c r="AO29" s="158">
        <f>($F29+(Nabídka!$K24*AO$56*($F$49+$F$51)/1000))*AM29</f>
        <v>0</v>
      </c>
      <c r="AP29" s="157">
        <f>IF(AP$16="Neaktivní",0,IF(ISBLANK($AQ$17),0,($E29+(Nabídka!$J24*AP$56*$E$47/1000))*Výpočty!$N$53*AM29))</f>
        <v>0</v>
      </c>
      <c r="AQ29" s="158">
        <f>IF(AP$16="Neaktivní",0,IF(ISBLANK($AQ$17),0,($F29+(Nabídka!$K24*AQ$56*($F$49+$F$51)/1000))*Výpočty!$N$53*AM29))</f>
        <v>0</v>
      </c>
      <c r="AR29" s="190">
        <f t="shared" si="17"/>
        <v>1</v>
      </c>
      <c r="AS29" s="157">
        <f>($E29+(Nabídka!$J24*AS$56*$E$47/1000))*AR29</f>
        <v>0</v>
      </c>
      <c r="AT29" s="148">
        <f>($F29+(Nabídka!$K24*AT$56*($F$49+$F$51)/1000))*AR29</f>
        <v>0</v>
      </c>
      <c r="AU29" s="157">
        <f>IF(AU$16="Neaktivní",0,IF(ISBLANK($AV$17),0,($E29+(Nabídka!$J24*AU$56*$E$47/1000))*Výpočty!$O$53*AR29))</f>
        <v>0</v>
      </c>
      <c r="AV29" s="158">
        <f>IF(AU$16="Neaktivní",0,IF(ISBLANK($AV$17),0,($F29+(Nabídka!$K24*AV$56*($F$49+$F$51)/1000))*Výpočty!$O$53*AR29))</f>
        <v>0</v>
      </c>
      <c r="AW29" s="190">
        <f t="shared" si="18"/>
        <v>1</v>
      </c>
      <c r="AX29" s="157">
        <f>($E29+(Nabídka!$J24*AX$56*$E$47/1000))*AW29</f>
        <v>0</v>
      </c>
      <c r="AY29" s="148">
        <f>($F29+(Nabídka!$K24*AY$56*($F$49+$F$51)/1000))*AW29</f>
        <v>0</v>
      </c>
      <c r="AZ29" s="157">
        <f>IF(AZ$16="Neaktivní",0,IF(ISBLANK($BA$17),0,($E29+(Nabídka!$J24*AZ$56*$E$47/1000))*Výpočty!$P$53*AW29))</f>
        <v>0</v>
      </c>
      <c r="BA29" s="158">
        <f>IF(AZ$16="Neaktivní",0,IF(ISBLANK($BA$17),0,($F29+(Nabídka!$K24*BA$56*($F$49+$F$51)/1000))*Výpočty!$P$53*AW29))</f>
        <v>0</v>
      </c>
      <c r="BB29" s="190">
        <f t="shared" si="19"/>
        <v>1</v>
      </c>
      <c r="BC29" s="157">
        <f>($E29+(Nabídka!$J24*BC$56*$E$47/1000))*BB29</f>
        <v>0</v>
      </c>
      <c r="BD29" s="148">
        <f>($F29+(Nabídka!$K24*BD$56*($F$49+$F$51)/1000))*BB29</f>
        <v>0</v>
      </c>
      <c r="BE29" s="157">
        <f>IF(BE$16="Neaktivní",0,IF(ISBLANK($BF$17),0,($E29+(Nabídka!$J24*BE$56*$E$47/1000))*Výpočty!$Q$53*BB29))</f>
        <v>0</v>
      </c>
      <c r="BF29" s="158">
        <f>IF(BE$16="Neaktivní",0,IF(ISBLANK($BF$17),0,($F29+(Nabídka!$K24*BF$56*($F$49+$F$51)/1000))*Výpočty!$Q$53*BB29))</f>
        <v>0</v>
      </c>
      <c r="BG29" s="190">
        <f t="shared" si="20"/>
        <v>1</v>
      </c>
      <c r="BH29" s="157">
        <f>($E29+(Nabídka!$J24*BH$56*$E$47/1000))*BG29</f>
        <v>0</v>
      </c>
      <c r="BI29" s="148">
        <f>($F29+(Nabídka!$K24*BI$56*($F$49+$F$51)/1000))*BG29</f>
        <v>0</v>
      </c>
      <c r="BJ29" s="157">
        <f>IF(BJ$16="Neaktivní",0,IF(ISBLANK($BK$17),0,($E29+(Nabídka!$J24*BJ$56*$E$47/1000))*Výpočty!$R$53*BG29))</f>
        <v>0</v>
      </c>
      <c r="BK29" s="158">
        <f>IF(BJ$16="Neaktivní",0,IF(ISBLANK($BK$17),0,($F29+(Nabídka!$K24*BK$56*($F$49+$F$51)/1000))*Výpočty!$R$53*BG29))</f>
        <v>0</v>
      </c>
      <c r="BL29" s="419">
        <f>IF(AND(DAY(Postup!$H$25)=31,MONTH(Postup!$H$25)=12),0,INDEX($E29:$BP29,MATCH($BL$55,$E$55:$BP$55,0))*Výpočty!$E$23)</f>
        <v>0</v>
      </c>
      <c r="BM29" s="158">
        <f>IF(AND(DAY(Postup!$H$25)=31,MONTH(Postup!$H$25)=12),0,INDEX($E29:$BP29,MATCH($BM$55,$E$55:$BP$55,0))*Výpočty!$E$23)</f>
        <v>0</v>
      </c>
      <c r="BN29" s="184"/>
      <c r="BO29" s="184"/>
      <c r="BP29" s="184"/>
    </row>
    <row r="30" spans="1:68" x14ac:dyDescent="0.25">
      <c r="A30" s="260"/>
      <c r="B30" s="44" t="s">
        <v>25</v>
      </c>
      <c r="C30" s="45" t="s">
        <v>26</v>
      </c>
      <c r="D30" s="191" t="s">
        <v>134</v>
      </c>
      <c r="E30" s="155">
        <f t="shared" ref="E30:J30" si="24">SUM(E31:E32)</f>
        <v>0</v>
      </c>
      <c r="F30" s="159">
        <f t="shared" si="24"/>
        <v>0</v>
      </c>
      <c r="G30" s="155">
        <f t="shared" si="24"/>
        <v>0</v>
      </c>
      <c r="H30" s="156">
        <f t="shared" si="24"/>
        <v>0</v>
      </c>
      <c r="I30" s="155">
        <f t="shared" si="24"/>
        <v>0</v>
      </c>
      <c r="J30" s="156">
        <f t="shared" si="24"/>
        <v>0</v>
      </c>
      <c r="K30" s="863"/>
      <c r="L30" s="863"/>
      <c r="M30" s="864"/>
      <c r="N30" s="190" t="str">
        <f t="shared" si="11"/>
        <v xml:space="preserve">-  </v>
      </c>
      <c r="O30" s="155">
        <f>SUM(O31:O32)</f>
        <v>0</v>
      </c>
      <c r="P30" s="159">
        <f>SUM(P31:P32)</f>
        <v>0</v>
      </c>
      <c r="Q30" s="155">
        <f>SUM(Q31:Q32)</f>
        <v>0</v>
      </c>
      <c r="R30" s="156">
        <f>SUM(R31:R32)</f>
        <v>0</v>
      </c>
      <c r="S30" s="333" t="str">
        <f t="shared" si="12"/>
        <v xml:space="preserve">-  </v>
      </c>
      <c r="T30" s="155">
        <f>SUM(T31:T32)</f>
        <v>0</v>
      </c>
      <c r="U30" s="156">
        <f>SUM(U31:U32)</f>
        <v>0</v>
      </c>
      <c r="V30" s="155">
        <f>SUM(V31:V32)</f>
        <v>0</v>
      </c>
      <c r="W30" s="156">
        <f>SUM(W31:W32)</f>
        <v>0</v>
      </c>
      <c r="X30" s="190" t="str">
        <f t="shared" si="13"/>
        <v xml:space="preserve">-  </v>
      </c>
      <c r="Y30" s="155">
        <f>SUM(Y31:Y32)</f>
        <v>0</v>
      </c>
      <c r="Z30" s="156">
        <f>SUM(Z31:Z32)</f>
        <v>0</v>
      </c>
      <c r="AA30" s="155">
        <f>SUM(AA31:AA32)</f>
        <v>0</v>
      </c>
      <c r="AB30" s="156">
        <f>SUM(AB31:AB32)</f>
        <v>0</v>
      </c>
      <c r="AC30" s="190" t="str">
        <f t="shared" si="14"/>
        <v xml:space="preserve">-  </v>
      </c>
      <c r="AD30" s="155">
        <f>SUM(AD31:AD32)</f>
        <v>0</v>
      </c>
      <c r="AE30" s="156">
        <f>SUM(AE31:AE32)</f>
        <v>0</v>
      </c>
      <c r="AF30" s="155">
        <f>SUM(AF31:AF32)</f>
        <v>0</v>
      </c>
      <c r="AG30" s="156">
        <f>SUM(AG31:AG32)</f>
        <v>0</v>
      </c>
      <c r="AH30" s="190" t="str">
        <f t="shared" si="15"/>
        <v xml:space="preserve">-  </v>
      </c>
      <c r="AI30" s="155">
        <f>SUM(AI31:AI32)</f>
        <v>0</v>
      </c>
      <c r="AJ30" s="156">
        <f>SUM(AJ31:AJ32)</f>
        <v>0</v>
      </c>
      <c r="AK30" s="155">
        <f>SUM(AK31:AK32)</f>
        <v>0</v>
      </c>
      <c r="AL30" s="156">
        <f>SUM(AL31:AL32)</f>
        <v>0</v>
      </c>
      <c r="AM30" s="190" t="str">
        <f t="shared" si="16"/>
        <v xml:space="preserve">-  </v>
      </c>
      <c r="AN30" s="155">
        <f>SUM(AN31:AN32)</f>
        <v>0</v>
      </c>
      <c r="AO30" s="156">
        <f>SUM(AO31:AO32)</f>
        <v>0</v>
      </c>
      <c r="AP30" s="155">
        <f>SUM(AP31:AP32)</f>
        <v>0</v>
      </c>
      <c r="AQ30" s="156">
        <f>SUM(AQ31:AQ32)</f>
        <v>0</v>
      </c>
      <c r="AR30" s="190" t="str">
        <f t="shared" si="17"/>
        <v xml:space="preserve">-  </v>
      </c>
      <c r="AS30" s="155">
        <f>SUM(AS31:AS32)</f>
        <v>0</v>
      </c>
      <c r="AT30" s="159">
        <f>SUM(AT31:AT32)</f>
        <v>0</v>
      </c>
      <c r="AU30" s="155">
        <f>SUM(AU31:AU32)</f>
        <v>0</v>
      </c>
      <c r="AV30" s="156">
        <f>SUM(AV31:AV32)</f>
        <v>0</v>
      </c>
      <c r="AW30" s="190" t="str">
        <f t="shared" si="18"/>
        <v xml:space="preserve">-  </v>
      </c>
      <c r="AX30" s="155">
        <f>SUM(AX31:AX32)</f>
        <v>0</v>
      </c>
      <c r="AY30" s="159">
        <f>SUM(AY31:AY32)</f>
        <v>0</v>
      </c>
      <c r="AZ30" s="155">
        <f>SUM(AZ31:AZ32)</f>
        <v>0</v>
      </c>
      <c r="BA30" s="156">
        <f>SUM(BA31:BA32)</f>
        <v>0</v>
      </c>
      <c r="BB30" s="190" t="str">
        <f t="shared" si="19"/>
        <v xml:space="preserve">-  </v>
      </c>
      <c r="BC30" s="155">
        <f>SUM(BC31:BC32)</f>
        <v>0</v>
      </c>
      <c r="BD30" s="159">
        <f>SUM(BD31:BD32)</f>
        <v>0</v>
      </c>
      <c r="BE30" s="155">
        <f>SUM(BE31:BE32)</f>
        <v>0</v>
      </c>
      <c r="BF30" s="156">
        <f>SUM(BF31:BF32)</f>
        <v>0</v>
      </c>
      <c r="BG30" s="190" t="str">
        <f t="shared" si="20"/>
        <v xml:space="preserve">-  </v>
      </c>
      <c r="BH30" s="155">
        <f t="shared" ref="BH30:BM30" si="25">SUM(BH31:BH32)</f>
        <v>0</v>
      </c>
      <c r="BI30" s="159">
        <f t="shared" si="25"/>
        <v>0</v>
      </c>
      <c r="BJ30" s="155">
        <f t="shared" si="25"/>
        <v>0</v>
      </c>
      <c r="BK30" s="156">
        <f t="shared" si="25"/>
        <v>0</v>
      </c>
      <c r="BL30" s="420">
        <f t="shared" si="25"/>
        <v>0</v>
      </c>
      <c r="BM30" s="156">
        <f t="shared" si="25"/>
        <v>0</v>
      </c>
      <c r="BN30" s="421"/>
      <c r="BO30" s="421"/>
      <c r="BP30" s="421"/>
    </row>
    <row r="31" spans="1:68" x14ac:dyDescent="0.25">
      <c r="A31" s="260"/>
      <c r="B31" s="47" t="s">
        <v>27</v>
      </c>
      <c r="C31" s="42" t="s">
        <v>28</v>
      </c>
      <c r="D31" s="48" t="s">
        <v>134</v>
      </c>
      <c r="E31" s="157">
        <f>Nabídka!F26</f>
        <v>0</v>
      </c>
      <c r="F31" s="148">
        <f>Nabídka!H26</f>
        <v>0</v>
      </c>
      <c r="G31" s="157">
        <f>IF(AND(DAY(Postup!$H$24)=1,MONTH(Postup!$H$24)=1),0,E31*Výpočty!$E$17)</f>
        <v>0</v>
      </c>
      <c r="H31" s="158">
        <f>IF(AND(DAY(Postup!$H$24)=1,MONTH(Postup!$H$24)=1),0,F31*Výpočty!$E$17)</f>
        <v>0</v>
      </c>
      <c r="I31" s="157">
        <f>IF(I$16="Neaktivní",0,IF(ISBLANK($J$17),0,($E31+(Nabídka!$J26*I$56*$E$47/1000))*Výpočty!$H$53))</f>
        <v>0</v>
      </c>
      <c r="J31" s="158">
        <f>IF(I$16="Neaktivní",0,IF(ISBLANK($J$17),0,($F31+(Nabídka!$K26*J$56*($F$49+$F$51)/1000))*Výpočty!$H$53))</f>
        <v>0</v>
      </c>
      <c r="K31" s="861" t="s">
        <v>161</v>
      </c>
      <c r="L31" s="861"/>
      <c r="M31" s="862"/>
      <c r="N31" s="190">
        <f t="shared" si="11"/>
        <v>1</v>
      </c>
      <c r="O31" s="157">
        <f>($E31+(Nabídka!$J26*O$56*$E$47/1000))*N31</f>
        <v>0</v>
      </c>
      <c r="P31" s="148">
        <f>($F31+(Nabídka!$K26*P$56*($F$49+$F$51)/1000))*N31</f>
        <v>0</v>
      </c>
      <c r="Q31" s="157">
        <f>IF(Q$16="Neaktivní",0,IF(ISBLANK($R$17),0,($E31+(Nabídka!$J26*Q$56*$E$47/1000))*Výpočty!$I$53*N31))</f>
        <v>0</v>
      </c>
      <c r="R31" s="158">
        <f>IF(Q$16="Neaktivní",0,IF(ISBLANK($R$17),0,($F31+(Nabídka!$K26*R$56*($F$49+$F$51)/1000))*Výpočty!$I$53*N31))</f>
        <v>0</v>
      </c>
      <c r="S31" s="333">
        <f t="shared" si="12"/>
        <v>1</v>
      </c>
      <c r="T31" s="157">
        <f>($E31+(Nabídka!$J26*T$56*$E$47/1000))*S31</f>
        <v>0</v>
      </c>
      <c r="U31" s="158">
        <f>($F31+(Nabídka!$K26*U$56*($F$49+$F$51)/1000))*S31</f>
        <v>0</v>
      </c>
      <c r="V31" s="157">
        <f>IF(V$16="Neaktivní",0,IF(ISBLANK($W$17),0,($E31+(Nabídka!$J26*V$56*$E$47/1000))*Výpočty!$J$53*S31))</f>
        <v>0</v>
      </c>
      <c r="W31" s="158">
        <f>IF(V$16="Neaktivní",0,IF(ISBLANK($W$17),0,($F31+(Nabídka!$K26*W$56*($F$49+$F$51)/1000))*Výpočty!$J$53*S31))</f>
        <v>0</v>
      </c>
      <c r="X31" s="190">
        <f t="shared" si="13"/>
        <v>1</v>
      </c>
      <c r="Y31" s="157">
        <f>($E31+(Nabídka!$J26*Y$56*$E$47/1000))*X31</f>
        <v>0</v>
      </c>
      <c r="Z31" s="158">
        <f>($F31+(Nabídka!$K26*Z$56*($F$49+$F$51)/1000))*X31</f>
        <v>0</v>
      </c>
      <c r="AA31" s="157">
        <f>IF(AA$16="Neaktivní",0,IF(ISBLANK($AB$17),0,($E31+(Nabídka!$J26*AA$56*$E$47/1000))*Výpočty!$K$53*X31))</f>
        <v>0</v>
      </c>
      <c r="AB31" s="158">
        <f>IF(AA$16="Neaktivní",0,IF(ISBLANK($AB$17),0,($F31+(Nabídka!$K26*AB$56*($F$49+$F$51)/1000))*Výpočty!$K$53*X31))</f>
        <v>0</v>
      </c>
      <c r="AC31" s="190">
        <f t="shared" si="14"/>
        <v>1</v>
      </c>
      <c r="AD31" s="157">
        <f>($E31+(Nabídka!$J26*AD$56*$E$47/1000))*AC31</f>
        <v>0</v>
      </c>
      <c r="AE31" s="158">
        <f>($F31+(Nabídka!$K26*AE$56*($F$49+$F$51)/1000))*AC31</f>
        <v>0</v>
      </c>
      <c r="AF31" s="157">
        <f>IF(AF$16="Neaktivní",0,IF(ISBLANK($AG$17),0,($E31+(Nabídka!$J26*AF$56*$E$47/1000))*Výpočty!$L$53*AC31))</f>
        <v>0</v>
      </c>
      <c r="AG31" s="158">
        <f>IF(AF$16="Neaktivní",0,IF(ISBLANK($AG$17),0,($F31+(Nabídka!$K26*AG$56*($F$49+$F$51)/1000))*Výpočty!$L$53*AC31))</f>
        <v>0</v>
      </c>
      <c r="AH31" s="190">
        <f t="shared" si="15"/>
        <v>1</v>
      </c>
      <c r="AI31" s="157">
        <f>($E31+(Nabídka!$J26*AI$56*$E$47/1000))*AH31</f>
        <v>0</v>
      </c>
      <c r="AJ31" s="158">
        <f>($F31+(Nabídka!$K26*AJ$56*($F$49+$F$51)/1000))*AH31</f>
        <v>0</v>
      </c>
      <c r="AK31" s="157">
        <f>IF(AK$16="Neaktivní",0,IF(ISBLANK($AG$17),0,($E31+(Nabídka!$J26*AK$56*$E$47/1000))*Výpočty!$M$53*AH31))</f>
        <v>0</v>
      </c>
      <c r="AL31" s="158">
        <f>IF(AK$16="Neaktivní",0,IF(ISBLANK($AG$17),0,($F31+(Nabídka!$K26*AL$56*($F$49+$F$51)/1000))*Výpočty!$M$53*AH31))</f>
        <v>0</v>
      </c>
      <c r="AM31" s="190">
        <f t="shared" si="16"/>
        <v>1</v>
      </c>
      <c r="AN31" s="157">
        <f>($E31+(Nabídka!$J26*AN$56*$E$47/1000))*AM31</f>
        <v>0</v>
      </c>
      <c r="AO31" s="158">
        <f>($F31+(Nabídka!$K26*AO$56*($F$49+$F$51)/1000))*AM31</f>
        <v>0</v>
      </c>
      <c r="AP31" s="157">
        <f>IF(AP$16="Neaktivní",0,IF(ISBLANK($AQ$17),0,($E31+(Nabídka!$J26*AP$56*$E$47/1000))*Výpočty!$N$53*AM31))</f>
        <v>0</v>
      </c>
      <c r="AQ31" s="158">
        <f>IF(AP$16="Neaktivní",0,IF(ISBLANK($AQ$17),0,($F31+(Nabídka!$K26*AQ$56*($F$49+$F$51)/1000))*Výpočty!$N$53*AM31))</f>
        <v>0</v>
      </c>
      <c r="AR31" s="190">
        <f t="shared" si="17"/>
        <v>1</v>
      </c>
      <c r="AS31" s="157">
        <f>($E31+(Nabídka!$J26*AS$56*$E$47/1000))*AR31</f>
        <v>0</v>
      </c>
      <c r="AT31" s="148">
        <f>($F31+(Nabídka!$K26*AT$56*($F$49+$F$51)/1000))*AR31</f>
        <v>0</v>
      </c>
      <c r="AU31" s="157">
        <f>IF(AU$16="Neaktivní",0,IF(ISBLANK($AV$17),0,($E31+(Nabídka!$J26*AU$56*$E$47/1000))*Výpočty!$O$53*AR31))</f>
        <v>0</v>
      </c>
      <c r="AV31" s="158">
        <f>IF(AU$16="Neaktivní",0,IF(ISBLANK($AV$17),0,($F31+(Nabídka!$K26*AV$56*($F$49+$F$51)/1000))*Výpočty!$O$53*AR31))</f>
        <v>0</v>
      </c>
      <c r="AW31" s="190">
        <f t="shared" si="18"/>
        <v>1</v>
      </c>
      <c r="AX31" s="157">
        <f>($E31+(Nabídka!$J26*AX$56*$E$47/1000))*AW31</f>
        <v>0</v>
      </c>
      <c r="AY31" s="148">
        <f>($F31+(Nabídka!$K26*AY$56*($F$49+$F$51)/1000))*AW31</f>
        <v>0</v>
      </c>
      <c r="AZ31" s="157">
        <f>IF(AZ$16="Neaktivní",0,IF(ISBLANK($BA$17),0,($E31+(Nabídka!$J26*AZ$56*$E$47/1000))*Výpočty!$P$53*AW31))</f>
        <v>0</v>
      </c>
      <c r="BA31" s="158">
        <f>IF(AZ$16="Neaktivní",0,IF(ISBLANK($BA$17),0,($F31+(Nabídka!$K26*BA$56*($F$49+$F$51)/1000))*Výpočty!$P$53*AW31))</f>
        <v>0</v>
      </c>
      <c r="BB31" s="190">
        <f t="shared" si="19"/>
        <v>1</v>
      </c>
      <c r="BC31" s="157">
        <f>($E31+(Nabídka!$J26*BC$56*$E$47/1000))*BB31</f>
        <v>0</v>
      </c>
      <c r="BD31" s="148">
        <f>($F31+(Nabídka!$K26*BD$56*($F$49+$F$51)/1000))*BB31</f>
        <v>0</v>
      </c>
      <c r="BE31" s="157">
        <f>IF(BE$16="Neaktivní",0,IF(ISBLANK($BF$17),0,($E31+(Nabídka!$J26*BE$56*$E$47/1000))*Výpočty!$Q$53*BB31))</f>
        <v>0</v>
      </c>
      <c r="BF31" s="158">
        <f>IF(BE$16="Neaktivní",0,IF(ISBLANK($BF$17),0,($F31+(Nabídka!$K26*BF$56*($F$49+$F$51)/1000))*Výpočty!$Q$53*BB31))</f>
        <v>0</v>
      </c>
      <c r="BG31" s="190">
        <f t="shared" si="20"/>
        <v>1</v>
      </c>
      <c r="BH31" s="157">
        <f>($E31+(Nabídka!$J26*BH$56*$E$47/1000))*BG31</f>
        <v>0</v>
      </c>
      <c r="BI31" s="148">
        <f>($F31+(Nabídka!$K26*BI$56*($F$49+$F$51)/1000))*BG31</f>
        <v>0</v>
      </c>
      <c r="BJ31" s="157">
        <f>IF(BJ$16="Neaktivní",0,IF(ISBLANK($BK$17),0,($E31+(Nabídka!$J26*BJ$56*$E$47/1000))*Výpočty!$R$53*BG31))</f>
        <v>0</v>
      </c>
      <c r="BK31" s="158">
        <f>IF(BJ$16="Neaktivní",0,IF(ISBLANK($BK$17),0,($F31+(Nabídka!$K26*BK$56*($F$49+$F$51)/1000))*Výpočty!$R$53*BG31))</f>
        <v>0</v>
      </c>
      <c r="BL31" s="419">
        <f>IF(AND(DAY(Postup!$H$25)=31,MONTH(Postup!$H$25)=12),0,INDEX($E31:$BP31,MATCH($BL$55,$E$55:$BP$55,0))*Výpočty!$E$23)</f>
        <v>0</v>
      </c>
      <c r="BM31" s="158">
        <f>IF(AND(DAY(Postup!$H$25)=31,MONTH(Postup!$H$25)=12),0,INDEX($E31:$BP31,MATCH($BM$55,$E$55:$BP$55,0))*Výpočty!$E$23)</f>
        <v>0</v>
      </c>
      <c r="BN31" s="184"/>
      <c r="BO31" s="184"/>
      <c r="BP31" s="184"/>
    </row>
    <row r="32" spans="1:68" x14ac:dyDescent="0.25">
      <c r="A32" s="260"/>
      <c r="B32" s="47" t="s">
        <v>29</v>
      </c>
      <c r="C32" s="42" t="s">
        <v>30</v>
      </c>
      <c r="D32" s="48" t="s">
        <v>134</v>
      </c>
      <c r="E32" s="157">
        <f>Nabídka!F27</f>
        <v>0</v>
      </c>
      <c r="F32" s="148">
        <f>Nabídka!H27</f>
        <v>0</v>
      </c>
      <c r="G32" s="157">
        <f>IF(AND(DAY(Postup!$H$24)=1,MONTH(Postup!$H$24)=1),0,E32*Výpočty!$E$17)</f>
        <v>0</v>
      </c>
      <c r="H32" s="158">
        <f>IF(AND(DAY(Postup!$H$24)=1,MONTH(Postup!$H$24)=1),0,F32*Výpočty!$E$17)</f>
        <v>0</v>
      </c>
      <c r="I32" s="157">
        <f>IF(I$16="Neaktivní",0,IF(ISBLANK($J$17),0,($E32+(Nabídka!$J27*I$56*$E$47/1000))*Výpočty!$H$53))</f>
        <v>0</v>
      </c>
      <c r="J32" s="158">
        <f>IF(I$16="Neaktivní",0,IF(ISBLANK($J$17),0,($F32+(Nabídka!$K27*J$56*($F$49+$F$51)/1000))*Výpočty!$H$53))</f>
        <v>0</v>
      </c>
      <c r="K32" s="861" t="s">
        <v>161</v>
      </c>
      <c r="L32" s="861"/>
      <c r="M32" s="862"/>
      <c r="N32" s="190">
        <f t="shared" si="11"/>
        <v>1</v>
      </c>
      <c r="O32" s="157">
        <f>($E32+(Nabídka!$J27*O$56*$E$47/1000))*N32</f>
        <v>0</v>
      </c>
      <c r="P32" s="148">
        <f>($F32+(Nabídka!$K27*P$56*($F$49+$F$51)/1000))*N32</f>
        <v>0</v>
      </c>
      <c r="Q32" s="157">
        <f>IF(Q$16="Neaktivní",0,IF(ISBLANK($R$17),0,($E32+(Nabídka!$J27*Q$56*$E$47/1000))*Výpočty!$I$53*N32))</f>
        <v>0</v>
      </c>
      <c r="R32" s="158">
        <f>IF(Q$16="Neaktivní",0,IF(ISBLANK($R$17),0,($F32+(Nabídka!$K27*R$56*($F$49+$F$51)/1000))*Výpočty!$I$53*N32))</f>
        <v>0</v>
      </c>
      <c r="S32" s="333">
        <f t="shared" si="12"/>
        <v>1</v>
      </c>
      <c r="T32" s="157">
        <f>($E32+(Nabídka!$J27*T$56*$E$47/1000))*S32</f>
        <v>0</v>
      </c>
      <c r="U32" s="158">
        <f>($F32+(Nabídka!$K27*U$56*($F$49+$F$51)/1000))*S32</f>
        <v>0</v>
      </c>
      <c r="V32" s="157">
        <f>IF(V$16="Neaktivní",0,IF(ISBLANK($W$17),0,($E32+(Nabídka!$J27*V$56*$E$47/1000))*Výpočty!$J$53*S32))</f>
        <v>0</v>
      </c>
      <c r="W32" s="158">
        <f>IF(V$16="Neaktivní",0,IF(ISBLANK($W$17),0,($F32+(Nabídka!$K27*W$56*($F$49+$F$51)/1000))*Výpočty!$J$53*S32))</f>
        <v>0</v>
      </c>
      <c r="X32" s="190">
        <f t="shared" si="13"/>
        <v>1</v>
      </c>
      <c r="Y32" s="157">
        <f>($E32+(Nabídka!$J27*Y$56*$E$47/1000))*X32</f>
        <v>0</v>
      </c>
      <c r="Z32" s="158">
        <f>($F32+(Nabídka!$K27*Z$56*($F$49+$F$51)/1000))*X32</f>
        <v>0</v>
      </c>
      <c r="AA32" s="157">
        <f>IF(AA$16="Neaktivní",0,IF(ISBLANK($AB$17),0,($E32+(Nabídka!$J27*AA$56*$E$47/1000))*Výpočty!$K$53*X32))</f>
        <v>0</v>
      </c>
      <c r="AB32" s="158">
        <f>IF(AA$16="Neaktivní",0,IF(ISBLANK($AB$17),0,($F32+(Nabídka!$K27*AB$56*($F$49+$F$51)/1000))*Výpočty!$K$53*X32))</f>
        <v>0</v>
      </c>
      <c r="AC32" s="190">
        <f t="shared" si="14"/>
        <v>1</v>
      </c>
      <c r="AD32" s="157">
        <f>($E32+(Nabídka!$J27*AD$56*$E$47/1000))*AC32</f>
        <v>0</v>
      </c>
      <c r="AE32" s="158">
        <f>($F32+(Nabídka!$K27*AE$56*($F$49+$F$51)/1000))*AC32</f>
        <v>0</v>
      </c>
      <c r="AF32" s="157">
        <f>IF(AF$16="Neaktivní",0,IF(ISBLANK($AG$17),0,($E32+(Nabídka!$J27*AF$56*$E$47/1000))*Výpočty!$L$53*AC32))</f>
        <v>0</v>
      </c>
      <c r="AG32" s="158">
        <f>IF(AF$16="Neaktivní",0,IF(ISBLANK($AG$17),0,($F32+(Nabídka!$K27*AG$56*($F$49+$F$51)/1000))*Výpočty!$L$53*AC32))</f>
        <v>0</v>
      </c>
      <c r="AH32" s="190">
        <f t="shared" si="15"/>
        <v>1</v>
      </c>
      <c r="AI32" s="157">
        <f>($E32+(Nabídka!$J27*AI$56*$E$47/1000))*AH32</f>
        <v>0</v>
      </c>
      <c r="AJ32" s="158">
        <f>($F32+(Nabídka!$K27*AJ$56*($F$49+$F$51)/1000))*AH32</f>
        <v>0</v>
      </c>
      <c r="AK32" s="157">
        <f>IF(AK$16="Neaktivní",0,IF(ISBLANK($AG$17),0,($E32+(Nabídka!$J27*AK$56*$E$47/1000))*Výpočty!$M$53*AH32))</f>
        <v>0</v>
      </c>
      <c r="AL32" s="158">
        <f>IF(AK$16="Neaktivní",0,IF(ISBLANK($AG$17),0,($F32+(Nabídka!$K27*AL$56*($F$49+$F$51)/1000))*Výpočty!$M$53*AH32))</f>
        <v>0</v>
      </c>
      <c r="AM32" s="190">
        <f t="shared" si="16"/>
        <v>1</v>
      </c>
      <c r="AN32" s="157">
        <f>($E32+(Nabídka!$J27*AN$56*$E$47/1000))*AM32</f>
        <v>0</v>
      </c>
      <c r="AO32" s="158">
        <f>($F32+(Nabídka!$K27*AO$56*($F$49+$F$51)/1000))*AM32</f>
        <v>0</v>
      </c>
      <c r="AP32" s="157">
        <f>IF(AP$16="Neaktivní",0,IF(ISBLANK($AQ$17),0,($E32+(Nabídka!$J27*AP$56*$E$47/1000))*Výpočty!$N$53*AM32))</f>
        <v>0</v>
      </c>
      <c r="AQ32" s="158">
        <f>IF(AP$16="Neaktivní",0,IF(ISBLANK($AQ$17),0,($F32+(Nabídka!$K27*AQ$56*($F$49+$F$51)/1000))*Výpočty!$N$53*AM32))</f>
        <v>0</v>
      </c>
      <c r="AR32" s="190">
        <f t="shared" si="17"/>
        <v>1</v>
      </c>
      <c r="AS32" s="157">
        <f>($E32+(Nabídka!$J27*AS$56*$E$47/1000))*AR32</f>
        <v>0</v>
      </c>
      <c r="AT32" s="148">
        <f>($F32+(Nabídka!$K27*AT$56*($F$49+$F$51)/1000))*AR32</f>
        <v>0</v>
      </c>
      <c r="AU32" s="157">
        <f>IF(AU$16="Neaktivní",0,IF(ISBLANK($AV$17),0,($E32+(Nabídka!$J27*AU$56*$E$47/1000))*Výpočty!$O$53*AR32))</f>
        <v>0</v>
      </c>
      <c r="AV32" s="158">
        <f>IF(AU$16="Neaktivní",0,IF(ISBLANK($AV$17),0,($F32+(Nabídka!$K27*AV$56*($F$49+$F$51)/1000))*Výpočty!$O$53*AR32))</f>
        <v>0</v>
      </c>
      <c r="AW32" s="190">
        <f t="shared" si="18"/>
        <v>1</v>
      </c>
      <c r="AX32" s="157">
        <f>($E32+(Nabídka!$J27*AX$56*$E$47/1000))*AW32</f>
        <v>0</v>
      </c>
      <c r="AY32" s="148">
        <f>($F32+(Nabídka!$K27*AY$56*($F$49+$F$51)/1000))*AW32</f>
        <v>0</v>
      </c>
      <c r="AZ32" s="157">
        <f>IF(AZ$16="Neaktivní",0,IF(ISBLANK($BA$17),0,($E32+(Nabídka!$J27*AZ$56*$E$47/1000))*Výpočty!$P$53*AW32))</f>
        <v>0</v>
      </c>
      <c r="BA32" s="158">
        <f>IF(AZ$16="Neaktivní",0,IF(ISBLANK($BA$17),0,($F32+(Nabídka!$K27*BA$56*($F$49+$F$51)/1000))*Výpočty!$P$53*AW32))</f>
        <v>0</v>
      </c>
      <c r="BB32" s="190">
        <f t="shared" si="19"/>
        <v>1</v>
      </c>
      <c r="BC32" s="157">
        <f>($E32+(Nabídka!$J27*BC$56*$E$47/1000))*BB32</f>
        <v>0</v>
      </c>
      <c r="BD32" s="148">
        <f>($F32+(Nabídka!$K27*BD$56*($F$49+$F$51)/1000))*BB32</f>
        <v>0</v>
      </c>
      <c r="BE32" s="157">
        <f>IF(BE$16="Neaktivní",0,IF(ISBLANK($BF$17),0,($E32+(Nabídka!$J27*BE$56*$E$47/1000))*Výpočty!$Q$53*BB32))</f>
        <v>0</v>
      </c>
      <c r="BF32" s="158">
        <f>IF(BE$16="Neaktivní",0,IF(ISBLANK($BF$17),0,($F32+(Nabídka!$K27*BF$56*($F$49+$F$51)/1000))*Výpočty!$Q$53*BB32))</f>
        <v>0</v>
      </c>
      <c r="BG32" s="190">
        <f t="shared" si="20"/>
        <v>1</v>
      </c>
      <c r="BH32" s="157">
        <f>($E32+(Nabídka!$J27*BH$56*$E$47/1000))*BG32</f>
        <v>0</v>
      </c>
      <c r="BI32" s="148">
        <f>($F32+(Nabídka!$K27*BI$56*($F$49+$F$51)/1000))*BG32</f>
        <v>0</v>
      </c>
      <c r="BJ32" s="157">
        <f>IF(BJ$16="Neaktivní",0,IF(ISBLANK($BK$17),0,($E32+(Nabídka!$J27*BJ$56*$E$47/1000))*Výpočty!$R$53*BG32))</f>
        <v>0</v>
      </c>
      <c r="BK32" s="158">
        <f>IF(BJ$16="Neaktivní",0,IF(ISBLANK($BK$17),0,($F32+(Nabídka!$K27*BK$56*($F$49+$F$51)/1000))*Výpočty!$R$53*BG32))</f>
        <v>0</v>
      </c>
      <c r="BL32" s="419">
        <f>IF(AND(DAY(Postup!$H$25)=31,MONTH(Postup!$H$25)=12),0,INDEX($E32:$BP32,MATCH($BL$55,$E$55:$BP$55,0))*Výpočty!$E$23)</f>
        <v>0</v>
      </c>
      <c r="BM32" s="158">
        <f>IF(AND(DAY(Postup!$H$25)=31,MONTH(Postup!$H$25)=12),0,INDEX($E32:$BP32,MATCH($BM$55,$E$55:$BP$55,0))*Výpočty!$E$23)</f>
        <v>0</v>
      </c>
      <c r="BN32" s="184"/>
      <c r="BO32" s="184"/>
      <c r="BP32" s="184"/>
    </row>
    <row r="33" spans="1:68" x14ac:dyDescent="0.25">
      <c r="A33" s="260"/>
      <c r="B33" s="44" t="s">
        <v>31</v>
      </c>
      <c r="C33" s="45" t="s">
        <v>32</v>
      </c>
      <c r="D33" s="191" t="s">
        <v>134</v>
      </c>
      <c r="E33" s="155">
        <f t="shared" ref="E33:J33" si="26">SUM(E34:E37)</f>
        <v>0</v>
      </c>
      <c r="F33" s="159">
        <f t="shared" si="26"/>
        <v>0.14000000000000001</v>
      </c>
      <c r="G33" s="155">
        <f t="shared" si="26"/>
        <v>0</v>
      </c>
      <c r="H33" s="156">
        <f t="shared" si="26"/>
        <v>0</v>
      </c>
      <c r="I33" s="155">
        <f t="shared" si="26"/>
        <v>0</v>
      </c>
      <c r="J33" s="156">
        <f t="shared" si="26"/>
        <v>0</v>
      </c>
      <c r="K33" s="863"/>
      <c r="L33" s="863"/>
      <c r="M33" s="864"/>
      <c r="N33" s="190" t="str">
        <f t="shared" si="11"/>
        <v xml:space="preserve">-  </v>
      </c>
      <c r="O33" s="155">
        <f>SUM(O34:O37)</f>
        <v>0</v>
      </c>
      <c r="P33" s="159">
        <f>SUM(P34:P37)</f>
        <v>0.14000000000000001</v>
      </c>
      <c r="Q33" s="155">
        <f>SUM(Q34:Q37)</f>
        <v>0</v>
      </c>
      <c r="R33" s="156">
        <f>SUM(R34:R37)</f>
        <v>0</v>
      </c>
      <c r="S33" s="333" t="str">
        <f t="shared" si="12"/>
        <v xml:space="preserve">-  </v>
      </c>
      <c r="T33" s="155">
        <f>SUM(T34:T37)</f>
        <v>0</v>
      </c>
      <c r="U33" s="156">
        <f>SUM(U34:U37)</f>
        <v>0.14000000000000001</v>
      </c>
      <c r="V33" s="155">
        <f>SUM(V34:V37)</f>
        <v>0</v>
      </c>
      <c r="W33" s="156">
        <f>SUM(W34:W37)</f>
        <v>0</v>
      </c>
      <c r="X33" s="190" t="str">
        <f t="shared" si="13"/>
        <v xml:space="preserve">-  </v>
      </c>
      <c r="Y33" s="155">
        <f>SUM(Y34:Y37)</f>
        <v>0</v>
      </c>
      <c r="Z33" s="156">
        <f>SUM(Z34:Z37)</f>
        <v>0.15</v>
      </c>
      <c r="AA33" s="155">
        <f>SUM(AA34:AA37)</f>
        <v>0</v>
      </c>
      <c r="AB33" s="156">
        <f>SUM(AB34:AB37)</f>
        <v>0</v>
      </c>
      <c r="AC33" s="190" t="str">
        <f t="shared" si="14"/>
        <v xml:space="preserve">-  </v>
      </c>
      <c r="AD33" s="155">
        <f>SUM(AD34:AD37)</f>
        <v>0</v>
      </c>
      <c r="AE33" s="156">
        <f>SUM(AE34:AE37)</f>
        <v>0.15</v>
      </c>
      <c r="AF33" s="155">
        <f>SUM(AF34:AF37)</f>
        <v>0</v>
      </c>
      <c r="AG33" s="156">
        <f>SUM(AG34:AG37)</f>
        <v>0</v>
      </c>
      <c r="AH33" s="190" t="str">
        <f t="shared" si="15"/>
        <v xml:space="preserve">-  </v>
      </c>
      <c r="AI33" s="155">
        <f>SUM(AI34:AI37)</f>
        <v>0</v>
      </c>
      <c r="AJ33" s="156">
        <f>SUM(AJ34:AJ37)</f>
        <v>0</v>
      </c>
      <c r="AK33" s="155">
        <f>SUM(AK34:AK37)</f>
        <v>0</v>
      </c>
      <c r="AL33" s="156">
        <f>SUM(AL34:AL37)</f>
        <v>0</v>
      </c>
      <c r="AM33" s="190" t="str">
        <f t="shared" si="16"/>
        <v xml:space="preserve">-  </v>
      </c>
      <c r="AN33" s="155">
        <f>SUM(AN34:AN37)</f>
        <v>0</v>
      </c>
      <c r="AO33" s="156">
        <f>SUM(AO34:AO37)</f>
        <v>0</v>
      </c>
      <c r="AP33" s="155">
        <f>SUM(AP34:AP37)</f>
        <v>0</v>
      </c>
      <c r="AQ33" s="156">
        <f>SUM(AQ34:AQ37)</f>
        <v>0</v>
      </c>
      <c r="AR33" s="190" t="str">
        <f t="shared" si="17"/>
        <v xml:space="preserve">-  </v>
      </c>
      <c r="AS33" s="155">
        <f>SUM(AS34:AS37)</f>
        <v>0</v>
      </c>
      <c r="AT33" s="159">
        <f>SUM(AT34:AT37)</f>
        <v>0</v>
      </c>
      <c r="AU33" s="155">
        <f>SUM(AU34:AU37)</f>
        <v>0</v>
      </c>
      <c r="AV33" s="156">
        <f>SUM(AV34:AV37)</f>
        <v>0</v>
      </c>
      <c r="AW33" s="190" t="str">
        <f t="shared" si="18"/>
        <v xml:space="preserve">-  </v>
      </c>
      <c r="AX33" s="155">
        <f>SUM(AX34:AX37)</f>
        <v>0</v>
      </c>
      <c r="AY33" s="159">
        <f>SUM(AY34:AY37)</f>
        <v>0</v>
      </c>
      <c r="AZ33" s="155">
        <f>SUM(AZ34:AZ37)</f>
        <v>0</v>
      </c>
      <c r="BA33" s="156">
        <f>SUM(BA34:BA37)</f>
        <v>0</v>
      </c>
      <c r="BB33" s="190" t="str">
        <f t="shared" si="19"/>
        <v xml:space="preserve">-  </v>
      </c>
      <c r="BC33" s="155">
        <f>SUM(BC34:BC37)</f>
        <v>0</v>
      </c>
      <c r="BD33" s="159">
        <f>SUM(BD34:BD37)</f>
        <v>0</v>
      </c>
      <c r="BE33" s="155">
        <f>SUM(BE34:BE37)</f>
        <v>0</v>
      </c>
      <c r="BF33" s="156">
        <f>SUM(BF34:BF37)</f>
        <v>0</v>
      </c>
      <c r="BG33" s="190" t="str">
        <f t="shared" si="20"/>
        <v xml:space="preserve">-  </v>
      </c>
      <c r="BH33" s="155">
        <f t="shared" ref="BH33:BM33" si="27">SUM(BH34:BH37)</f>
        <v>0</v>
      </c>
      <c r="BI33" s="159">
        <f t="shared" si="27"/>
        <v>0</v>
      </c>
      <c r="BJ33" s="155">
        <f t="shared" si="27"/>
        <v>0</v>
      </c>
      <c r="BK33" s="156">
        <f t="shared" si="27"/>
        <v>0</v>
      </c>
      <c r="BL33" s="420">
        <f t="shared" si="27"/>
        <v>0</v>
      </c>
      <c r="BM33" s="156">
        <f t="shared" si="27"/>
        <v>0</v>
      </c>
      <c r="BN33" s="421"/>
      <c r="BO33" s="421"/>
      <c r="BP33" s="421"/>
    </row>
    <row r="34" spans="1:68" x14ac:dyDescent="0.25">
      <c r="A34" s="260"/>
      <c r="B34" s="47" t="s">
        <v>33</v>
      </c>
      <c r="C34" s="503" t="s">
        <v>34</v>
      </c>
      <c r="D34" s="48" t="s">
        <v>134</v>
      </c>
      <c r="E34" s="631">
        <f>Nabídka!F29</f>
        <v>0</v>
      </c>
      <c r="F34" s="631">
        <f>Nabídka!H29</f>
        <v>0</v>
      </c>
      <c r="G34" s="157">
        <f>IF(AND(DAY(Postup!$H$24)=1,MONTH(Postup!$H$24)=1),0,E34*Výpočty!$E$17)</f>
        <v>0</v>
      </c>
      <c r="H34" s="158">
        <f>IF(AND(DAY(Postup!$H$24)=1,MONTH(Postup!$H$24)=1),0,F34*Výpočty!$E$17)</f>
        <v>0</v>
      </c>
      <c r="I34" s="157">
        <f>IF(I$16="Neaktivní",0,IF(ISBLANK($J$17),0,E34*Výpočty!$H$53))</f>
        <v>0</v>
      </c>
      <c r="J34" s="158">
        <f>IF(I$16="Neaktivní",0,IF(ISBLANK($J$17),0,F34*Výpočty!$H$53))</f>
        <v>0</v>
      </c>
      <c r="K34" s="863"/>
      <c r="L34" s="863"/>
      <c r="M34" s="864"/>
      <c r="N34" s="190" t="str">
        <f t="shared" si="11"/>
        <v xml:space="preserve">-  </v>
      </c>
      <c r="O34" s="631">
        <f>Nabídka!F29</f>
        <v>0</v>
      </c>
      <c r="P34" s="631">
        <f>Nabídka!H29</f>
        <v>0</v>
      </c>
      <c r="Q34" s="157">
        <f>IF(Q$16="Neaktivní",0,IF(ISBLANK($R$17),0,O34*Výpočty!$I$53))</f>
        <v>0</v>
      </c>
      <c r="R34" s="158">
        <f>IF(Q$16="Neaktivní",0,IF(ISBLANK($R$17),0,P34*Výpočty!$I$53))</f>
        <v>0</v>
      </c>
      <c r="S34" s="333" t="str">
        <f t="shared" si="12"/>
        <v xml:space="preserve">-  </v>
      </c>
      <c r="T34" s="631">
        <f>Nabídka!F29</f>
        <v>0</v>
      </c>
      <c r="U34" s="631">
        <f>Nabídka!H29</f>
        <v>0</v>
      </c>
      <c r="V34" s="157">
        <f>IF(V$16="Neaktivní",0,IF(ISBLANK($W$17),0,T34*Výpočty!$J$53))</f>
        <v>0</v>
      </c>
      <c r="W34" s="158">
        <f>IF(V$16="Neaktivní",0,IF(ISBLANK($W$17),0,U34*Výpočty!$J$53))</f>
        <v>0</v>
      </c>
      <c r="X34" s="190" t="str">
        <f t="shared" si="13"/>
        <v xml:space="preserve">-  </v>
      </c>
      <c r="Y34" s="631">
        <f>Nabídka!F29</f>
        <v>0</v>
      </c>
      <c r="Z34" s="631">
        <f>Nabídka!H29</f>
        <v>0</v>
      </c>
      <c r="AA34" s="157">
        <f>IF(AA$16="Neaktivní",0,IF(ISBLANK($AB$17),0,Y34*Výpočty!$K$53))</f>
        <v>0</v>
      </c>
      <c r="AB34" s="158">
        <f>IF(AA$16="Neaktivní",0,IF(ISBLANK($AB$17),0,Z34*Výpočty!$K$53))</f>
        <v>0</v>
      </c>
      <c r="AC34" s="190" t="str">
        <f t="shared" si="14"/>
        <v xml:space="preserve">-  </v>
      </c>
      <c r="AD34" s="631">
        <f>Nabídka!F29</f>
        <v>0</v>
      </c>
      <c r="AE34" s="631">
        <f>Nabídka!H29</f>
        <v>0</v>
      </c>
      <c r="AF34" s="157">
        <f>IF(AF$16="Neaktivní",0,IF(ISBLANK($AG$17),0,AD34*Výpočty!$L$53))</f>
        <v>0</v>
      </c>
      <c r="AG34" s="158">
        <f>IF(AF$16="Neaktivní",0,IF(ISBLANK($AG$17),0,AE34*Výpočty!$L$53))</f>
        <v>0</v>
      </c>
      <c r="AH34" s="190" t="str">
        <f t="shared" si="15"/>
        <v xml:space="preserve">-  </v>
      </c>
      <c r="AI34" s="632">
        <f>Nabídka!F29</f>
        <v>0</v>
      </c>
      <c r="AJ34" s="632">
        <f>Nabídka!H29</f>
        <v>0</v>
      </c>
      <c r="AK34" s="157">
        <f>IF(AK$16="Neaktivní",0,IF(ISBLANK($AG$17),0,AI34*Výpočty!$M$53))</f>
        <v>0</v>
      </c>
      <c r="AL34" s="158">
        <f>IF(AK$16="Neaktivní",0,IF(ISBLANK($AG$17),0,AJ34*Výpočty!$M$53))</f>
        <v>0</v>
      </c>
      <c r="AM34" s="190" t="str">
        <f t="shared" si="16"/>
        <v xml:space="preserve">-  </v>
      </c>
      <c r="AN34" s="632">
        <f>Nabídka!F29</f>
        <v>0</v>
      </c>
      <c r="AO34" s="632">
        <f>Nabídka!H29</f>
        <v>0</v>
      </c>
      <c r="AP34" s="157">
        <f>IF(AP$16="Neaktivní",0,IF(ISBLANK($AQ$17),0,AN34*Výpočty!$N$53))</f>
        <v>0</v>
      </c>
      <c r="AQ34" s="158">
        <f>IF(AP$16="Neaktivní",0,IF(ISBLANK($AQ$17),0,AO34*Výpočty!$N$53))</f>
        <v>0</v>
      </c>
      <c r="AR34" s="190" t="str">
        <f t="shared" si="17"/>
        <v xml:space="preserve">-  </v>
      </c>
      <c r="AS34" s="632">
        <f>Nabídka!F29</f>
        <v>0</v>
      </c>
      <c r="AT34" s="632">
        <f>Nabídka!H29</f>
        <v>0</v>
      </c>
      <c r="AU34" s="157">
        <f>IF(AU$16="Neaktivní",0,IF(ISBLANK($AV$17),0,AS34*Výpočty!$O$53))</f>
        <v>0</v>
      </c>
      <c r="AV34" s="158">
        <f>IF(AU$16="Neaktivní",0,IF(ISBLANK($AV$17),0,AT34*Výpočty!$O$53))</f>
        <v>0</v>
      </c>
      <c r="AW34" s="190" t="str">
        <f t="shared" si="18"/>
        <v xml:space="preserve">-  </v>
      </c>
      <c r="AX34" s="632">
        <f>Nabídka!F29</f>
        <v>0</v>
      </c>
      <c r="AY34" s="632">
        <f>Nabídka!H29</f>
        <v>0</v>
      </c>
      <c r="AZ34" s="157">
        <f>IF(AZ$16="Neaktivní",0,IF(ISBLANK($BA$17),0,AX34*Výpočty!$P$53))</f>
        <v>0</v>
      </c>
      <c r="BA34" s="158">
        <f>IF(AZ$16="Neaktivní",0,IF(ISBLANK($BA$17),0,AY34*Výpočty!$P$53))</f>
        <v>0</v>
      </c>
      <c r="BB34" s="190" t="str">
        <f t="shared" si="19"/>
        <v xml:space="preserve">-  </v>
      </c>
      <c r="BC34" s="632">
        <f>Nabídka!F29</f>
        <v>0</v>
      </c>
      <c r="BD34" s="632">
        <f>Nabídka!H29</f>
        <v>0</v>
      </c>
      <c r="BE34" s="157">
        <f>IF(BE$16="Neaktivní",0,IF(ISBLANK($BF$17),0,BC34*Výpočty!$Q$53))</f>
        <v>0</v>
      </c>
      <c r="BF34" s="158">
        <f>IF(BE$16="Neaktivní",0,IF(ISBLANK($BF$17),0,BD34*Výpočty!$Q$53))</f>
        <v>0</v>
      </c>
      <c r="BG34" s="190" t="str">
        <f t="shared" si="20"/>
        <v xml:space="preserve">-  </v>
      </c>
      <c r="BH34" s="632">
        <f>Nabídka!F29</f>
        <v>0</v>
      </c>
      <c r="BI34" s="632">
        <f>Nabídka!H29</f>
        <v>0</v>
      </c>
      <c r="BJ34" s="157">
        <f>IF(BJ$16="Neaktivní",0,IF(ISBLANK($BK$17),0,BH34*Výpočty!$R$53))</f>
        <v>0</v>
      </c>
      <c r="BK34" s="158">
        <f>IF(BJ$16="Neaktivní",0,IF(ISBLANK($BK$17),0,BI34*Výpočty!$R$53))</f>
        <v>0</v>
      </c>
      <c r="BL34" s="419">
        <f>IF(AND(DAY(Postup!$H$25)=31,MONTH(Postup!$H$25)=12),0,INDEX($E34:$BP34,MATCH($BL$55,$E$55:$BP$55,0))*Výpočty!$E$23)</f>
        <v>0</v>
      </c>
      <c r="BM34" s="158">
        <f>IF(AND(DAY(Postup!$H$25)=31,MONTH(Postup!$H$25)=12),0,INDEX($E34:$BP34,MATCH($BM$55,$E$55:$BP$55,0))*Výpočty!$E$23)</f>
        <v>0</v>
      </c>
      <c r="BN34" s="184"/>
      <c r="BO34" s="184"/>
      <c r="BP34" s="184"/>
    </row>
    <row r="35" spans="1:68" x14ac:dyDescent="0.25">
      <c r="A35" s="260"/>
      <c r="B35" s="47" t="s">
        <v>35</v>
      </c>
      <c r="C35" s="42" t="s">
        <v>36</v>
      </c>
      <c r="D35" s="48" t="s">
        <v>134</v>
      </c>
      <c r="E35" s="524">
        <f>Nabídka!F30</f>
        <v>0</v>
      </c>
      <c r="F35" s="525">
        <f>Nabídka!H30</f>
        <v>0</v>
      </c>
      <c r="G35" s="157">
        <f>IF(AND(DAY(Postup!$H$24)=1,MONTH(Postup!$H$24)=1),0,E35*Výpočty!$E$17)</f>
        <v>0</v>
      </c>
      <c r="H35" s="158">
        <f>IF(AND(DAY(Postup!$H$24)=1,MONTH(Postup!$H$24)=1),0,F35*Výpočty!$E$17)</f>
        <v>0</v>
      </c>
      <c r="I35" s="157">
        <f>IF(I$16="Neaktivní",0,IF(ISBLANK($J$17),0,E35*Výpočty!$H$53))</f>
        <v>0</v>
      </c>
      <c r="J35" s="158">
        <f>IF(I$16="Neaktivní",0,IF(ISBLANK($J$17),0,F35*Výpočty!$H$53))</f>
        <v>0</v>
      </c>
      <c r="K35" s="861" t="s">
        <v>172</v>
      </c>
      <c r="L35" s="861"/>
      <c r="M35" s="862"/>
      <c r="N35" s="190">
        <f t="shared" si="11"/>
        <v>1</v>
      </c>
      <c r="O35" s="157">
        <f>$E35*N35</f>
        <v>0</v>
      </c>
      <c r="P35" s="148">
        <f>$F35*N35</f>
        <v>0</v>
      </c>
      <c r="Q35" s="157">
        <f>IF(Q$16="Neaktivní",0,IF(ISBLANK($R$17),0,$E35*Výpočty!$I$53*N35))</f>
        <v>0</v>
      </c>
      <c r="R35" s="158">
        <f>IF(Q$16="Neaktivní",0,IF(ISBLANK($R$17),0,$F35*Výpočty!$I$53*N35))</f>
        <v>0</v>
      </c>
      <c r="S35" s="333">
        <f t="shared" si="12"/>
        <v>1</v>
      </c>
      <c r="T35" s="157">
        <f>$E35*S35</f>
        <v>0</v>
      </c>
      <c r="U35" s="158">
        <f>$F35*S35</f>
        <v>0</v>
      </c>
      <c r="V35" s="157">
        <f>IF(V$16="Neaktivní",0,IF(ISBLANK($W$17),0,$E35*Výpočty!$J$53*S35))</f>
        <v>0</v>
      </c>
      <c r="W35" s="158">
        <f>IF(V$16="Neaktivní",0,IF(ISBLANK($W$17),0,$F35*Výpočty!$J$53*S35))</f>
        <v>0</v>
      </c>
      <c r="X35" s="190">
        <f t="shared" si="13"/>
        <v>1</v>
      </c>
      <c r="Y35" s="157">
        <f>$E35*X35</f>
        <v>0</v>
      </c>
      <c r="Z35" s="158">
        <f>$F35*X35</f>
        <v>0</v>
      </c>
      <c r="AA35" s="157">
        <f>IF(AA$16="Neaktivní",0,IF(ISBLANK($AB$17),0,$E35*Výpočty!$K$53*X35))</f>
        <v>0</v>
      </c>
      <c r="AB35" s="158">
        <f>IF(AA$16="Neaktivní",0,IF(ISBLANK($AB$17),0,$F35*Výpočty!$K$53*X35))</f>
        <v>0</v>
      </c>
      <c r="AC35" s="190">
        <f t="shared" si="14"/>
        <v>1</v>
      </c>
      <c r="AD35" s="157">
        <f>$E35*AC35</f>
        <v>0</v>
      </c>
      <c r="AE35" s="158">
        <f>$F35*AC35</f>
        <v>0</v>
      </c>
      <c r="AF35" s="157">
        <f>IF(AF$16="Neaktivní",0,IF(ISBLANK($AG$17),0,$E35*Výpočty!$L$53*AC35))</f>
        <v>0</v>
      </c>
      <c r="AG35" s="158">
        <f>IF(AF$16="Neaktivní",0,IF(ISBLANK($AG$17),0,$F35*Výpočty!$L$53*AC35))</f>
        <v>0</v>
      </c>
      <c r="AH35" s="190">
        <f t="shared" si="15"/>
        <v>1</v>
      </c>
      <c r="AI35" s="157">
        <f>$E35*AH35</f>
        <v>0</v>
      </c>
      <c r="AJ35" s="158">
        <f>$F35*AH35</f>
        <v>0</v>
      </c>
      <c r="AK35" s="157">
        <f>IF(AK$16="Neaktivní",0,IF(ISBLANK($AG$17),0,$E35*Výpočty!$M$53*AH35))</f>
        <v>0</v>
      </c>
      <c r="AL35" s="158">
        <f>IF(AK$16="Neaktivní",0,IF(ISBLANK($AG$17),0,$F35*Výpočty!$M$53*AH35))</f>
        <v>0</v>
      </c>
      <c r="AM35" s="190">
        <f t="shared" si="16"/>
        <v>1</v>
      </c>
      <c r="AN35" s="157">
        <f>$E35*AM35</f>
        <v>0</v>
      </c>
      <c r="AO35" s="158">
        <f>$F35*AM35</f>
        <v>0</v>
      </c>
      <c r="AP35" s="157">
        <f>IF(AP$16="Neaktivní",0,IF(ISBLANK($AQ$17),0,$E35*Výpočty!$N$53*AM35))</f>
        <v>0</v>
      </c>
      <c r="AQ35" s="158">
        <f>IF(AP$16="Neaktivní",0,IF(ISBLANK($AQ$17),0,$F35*Výpočty!$N$53*AM35))</f>
        <v>0</v>
      </c>
      <c r="AR35" s="190">
        <f t="shared" si="17"/>
        <v>1</v>
      </c>
      <c r="AS35" s="157">
        <f>$E35*AR35</f>
        <v>0</v>
      </c>
      <c r="AT35" s="158">
        <f>$F35*AR35</f>
        <v>0</v>
      </c>
      <c r="AU35" s="157">
        <f>IF(AU$16="Neaktivní",0,IF(ISBLANK($AV$17),0,$E35*Výpočty!$O$53*AR35))</f>
        <v>0</v>
      </c>
      <c r="AV35" s="158">
        <f>IF(AU$16="Neaktivní",0,IF(ISBLANK($AV$17),0,$F35*Výpočty!$O$53*AR35))</f>
        <v>0</v>
      </c>
      <c r="AW35" s="190">
        <f t="shared" si="18"/>
        <v>1</v>
      </c>
      <c r="AX35" s="157">
        <f>$E35*AW35</f>
        <v>0</v>
      </c>
      <c r="AY35" s="158">
        <f>$F35*AW35</f>
        <v>0</v>
      </c>
      <c r="AZ35" s="157">
        <f>IF(AZ$16="Neaktivní",0,IF(ISBLANK($BA$17),0,$E35*Výpočty!$P$53*AW35))</f>
        <v>0</v>
      </c>
      <c r="BA35" s="158">
        <f>IF(AZ$16="Neaktivní",0,IF(ISBLANK($BA$17),0,$F35*Výpočty!$P$53*AW35))</f>
        <v>0</v>
      </c>
      <c r="BB35" s="190">
        <f t="shared" si="19"/>
        <v>1</v>
      </c>
      <c r="BC35" s="157">
        <f>$E35*BB35</f>
        <v>0</v>
      </c>
      <c r="BD35" s="158">
        <f>$F35*BB35</f>
        <v>0</v>
      </c>
      <c r="BE35" s="157">
        <f>IF(BE$16="Neaktivní",0,IF(ISBLANK($BF$17),0,$E35*Výpočty!$Q$53*BB35))</f>
        <v>0</v>
      </c>
      <c r="BF35" s="158">
        <f>IF(BE$16="Neaktivní",0,IF(ISBLANK($BF$17),0,$F35*Výpočty!$Q$53*BB35))</f>
        <v>0</v>
      </c>
      <c r="BG35" s="190">
        <f t="shared" si="20"/>
        <v>1</v>
      </c>
      <c r="BH35" s="157">
        <f>$E35*BG35</f>
        <v>0</v>
      </c>
      <c r="BI35" s="158">
        <f>$F35*BG35</f>
        <v>0</v>
      </c>
      <c r="BJ35" s="157">
        <f>IF(BJ$16="Neaktivní",0,IF(ISBLANK($BK$17),0,$E35*Výpočty!$R$53*BG35))</f>
        <v>0</v>
      </c>
      <c r="BK35" s="158">
        <f>IF(BJ$16="Neaktivní",0,IF(ISBLANK($BK$17),0,$F35*Výpočty!$R$53*BG35))</f>
        <v>0</v>
      </c>
      <c r="BL35" s="419">
        <f>IF(AND(DAY(Postup!$H$25)=31,MONTH(Postup!$H$25)=12),0,INDEX($E35:$BP35,MATCH($BL$55,$E$55:$BP$55,0))*Výpočty!$E$23)</f>
        <v>0</v>
      </c>
      <c r="BM35" s="158">
        <f>IF(AND(DAY(Postup!$H$25)=31,MONTH(Postup!$H$25)=12),0,INDEX($E35:$BP35,MATCH($BM$55,$E$55:$BP$55,0))*Výpočty!$E$23)</f>
        <v>0</v>
      </c>
      <c r="BN35" s="184"/>
      <c r="BO35" s="184"/>
      <c r="BP35" s="184"/>
    </row>
    <row r="36" spans="1:68" x14ac:dyDescent="0.25">
      <c r="A36" s="260"/>
      <c r="B36" s="47" t="s">
        <v>37</v>
      </c>
      <c r="C36" s="42" t="s">
        <v>38</v>
      </c>
      <c r="D36" s="48" t="s">
        <v>134</v>
      </c>
      <c r="E36" s="157">
        <f>Nabídka!F31</f>
        <v>0</v>
      </c>
      <c r="F36" s="148">
        <f>Nabídka!H31</f>
        <v>0.14000000000000001</v>
      </c>
      <c r="G36" s="157">
        <f>IF(AND(DAY(Postup!$H$24)=1,MONTH(Postup!$H$24)=1),0,E36*Výpočty!$E$17)</f>
        <v>0</v>
      </c>
      <c r="H36" s="158">
        <f>IF(AND(DAY(Postup!$H$24)=1,MONTH(Postup!$H$24)=1),0,F36*Výpočty!$E$17)</f>
        <v>0</v>
      </c>
      <c r="I36" s="157">
        <f>IF(I$16="Neaktivní",0,IF(ISBLANK($J$17),0,E36*Výpočty!$H$53))</f>
        <v>0</v>
      </c>
      <c r="J36" s="158">
        <f>IF(I$16="Neaktivní",0,IF(ISBLANK($J$17),0,F36*Výpočty!$H$53))</f>
        <v>0</v>
      </c>
      <c r="K36" s="861" t="s">
        <v>162</v>
      </c>
      <c r="L36" s="861"/>
      <c r="M36" s="862"/>
      <c r="N36" s="190">
        <f t="shared" si="11"/>
        <v>1</v>
      </c>
      <c r="O36" s="157">
        <f>Postup!F31*N36</f>
        <v>0</v>
      </c>
      <c r="P36" s="148">
        <f>Postup!F32*N36</f>
        <v>0.14000000000000001</v>
      </c>
      <c r="Q36" s="157">
        <f>IF(Q$16="Neaktivní",0,IF(ISBLANK($R$17),0,O36*Výpočty!$I$53))</f>
        <v>0</v>
      </c>
      <c r="R36" s="158">
        <f>IF(Q$16="Neaktivní",0,IF(ISBLANK($R$17),0,P36*Výpočty!$I$53))</f>
        <v>0</v>
      </c>
      <c r="S36" s="333">
        <f t="shared" si="12"/>
        <v>1</v>
      </c>
      <c r="T36" s="157">
        <f>Postup!G31*S36</f>
        <v>0</v>
      </c>
      <c r="U36" s="158">
        <f>Postup!G32*S36</f>
        <v>0.14000000000000001</v>
      </c>
      <c r="V36" s="157">
        <f>IF(V$16="Neaktivní",0,IF(ISBLANK($W$17),0,T36*Výpočty!$J$53))</f>
        <v>0</v>
      </c>
      <c r="W36" s="158">
        <f>IF(V$16="Neaktivní",0,IF(ISBLANK($W$17),0,U36*Výpočty!$J$53))</f>
        <v>0</v>
      </c>
      <c r="X36" s="190">
        <f t="shared" si="13"/>
        <v>1</v>
      </c>
      <c r="Y36" s="157">
        <f>Postup!H31*X36</f>
        <v>0</v>
      </c>
      <c r="Z36" s="158">
        <f>Postup!H32*X36</f>
        <v>0.15</v>
      </c>
      <c r="AA36" s="157">
        <f>IF(AA$16="Neaktivní",0,IF(ISBLANK($AB$17),0,Y36*Výpočty!$K$53))</f>
        <v>0</v>
      </c>
      <c r="AB36" s="158">
        <f>IF(AA$16="Neaktivní",0,IF(ISBLANK($AB$17),0,Z36*Výpočty!$K$53))</f>
        <v>0</v>
      </c>
      <c r="AC36" s="190">
        <f t="shared" si="14"/>
        <v>1</v>
      </c>
      <c r="AD36" s="157">
        <f>Postup!I31*AC36</f>
        <v>0</v>
      </c>
      <c r="AE36" s="158">
        <f>Postup!I32*AC36</f>
        <v>0.15</v>
      </c>
      <c r="AF36" s="157">
        <f>IF(AF$16="Neaktivní",0,IF(ISBLANK($AG$17),0,AD36*Výpočty!$L$53))</f>
        <v>0</v>
      </c>
      <c r="AG36" s="158">
        <f>IF(AF$16="Neaktivní",0,IF(ISBLANK($AG$17),0,AE36*Výpočty!$L$53))</f>
        <v>0</v>
      </c>
      <c r="AH36" s="190">
        <f t="shared" si="15"/>
        <v>1</v>
      </c>
      <c r="AI36" s="157">
        <f>Postup!J31*AH36</f>
        <v>0</v>
      </c>
      <c r="AJ36" s="158">
        <f>Postup!J32*AH36</f>
        <v>0</v>
      </c>
      <c r="AK36" s="157">
        <f>IF(AK$16="Neaktivní",0,IF(ISBLANK($AG$17),0,AI36*Výpočty!$M$53))</f>
        <v>0</v>
      </c>
      <c r="AL36" s="158">
        <f>IF(AK$16="Neaktivní",0,IF(ISBLANK($AG$17),0,AJ36*Výpočty!$M$53))</f>
        <v>0</v>
      </c>
      <c r="AM36" s="190">
        <f t="shared" si="16"/>
        <v>1</v>
      </c>
      <c r="AN36" s="157">
        <f>Postup!K31*AM36</f>
        <v>0</v>
      </c>
      <c r="AO36" s="158">
        <f>Postup!K32*AM36</f>
        <v>0</v>
      </c>
      <c r="AP36" s="157">
        <f>IF(AP$16="Neaktivní",0,IF(ISBLANK($AQ$17),0,AN36*Výpočty!$N$53))</f>
        <v>0</v>
      </c>
      <c r="AQ36" s="158">
        <f>IF(AP$16="Neaktivní",0,IF(ISBLANK($AQ$17),0,AO36*Výpočty!$N$53))</f>
        <v>0</v>
      </c>
      <c r="AR36" s="190">
        <f t="shared" si="17"/>
        <v>1</v>
      </c>
      <c r="AS36" s="157">
        <f>Postup!L31*AR36</f>
        <v>0</v>
      </c>
      <c r="AT36" s="148">
        <f>Postup!L32*AR36</f>
        <v>0</v>
      </c>
      <c r="AU36" s="157">
        <f>IF(AU$16="Neaktivní",0,IF(ISBLANK($AV$17),0,AS36*Výpočty!$O$53))</f>
        <v>0</v>
      </c>
      <c r="AV36" s="158">
        <f>IF(AU$16="Neaktivní",0,IF(ISBLANK($AV$17),0,AT36*Výpočty!$O$53))</f>
        <v>0</v>
      </c>
      <c r="AW36" s="190">
        <f t="shared" si="18"/>
        <v>1</v>
      </c>
      <c r="AX36" s="157">
        <f>Postup!M31*AW36</f>
        <v>0</v>
      </c>
      <c r="AY36" s="148">
        <f>Postup!M32*AW36</f>
        <v>0</v>
      </c>
      <c r="AZ36" s="157">
        <f>IF(AZ$16="Neaktivní",0,IF(ISBLANK($BA$17),0,AX36*Výpočty!$P$53))</f>
        <v>0</v>
      </c>
      <c r="BA36" s="158">
        <f>IF(AZ$16="Neaktivní",0,IF(ISBLANK($BA$17),0,AY36*Výpočty!$P$53))</f>
        <v>0</v>
      </c>
      <c r="BB36" s="190">
        <f t="shared" si="19"/>
        <v>1</v>
      </c>
      <c r="BC36" s="157">
        <f>Postup!N31*BB36</f>
        <v>0</v>
      </c>
      <c r="BD36" s="148">
        <f>Postup!N32*BB36</f>
        <v>0</v>
      </c>
      <c r="BE36" s="157">
        <f>IF(BE$16="Neaktivní",0,IF(ISBLANK($BF$17),0,BC36*Výpočty!$Q$53))</f>
        <v>0</v>
      </c>
      <c r="BF36" s="158">
        <f>IF(BE$16="Neaktivní",0,IF(ISBLANK($BF$17),0,BD36*Výpočty!$Q$53))</f>
        <v>0</v>
      </c>
      <c r="BG36" s="190">
        <f t="shared" si="20"/>
        <v>1</v>
      </c>
      <c r="BH36" s="157">
        <f>Postup!O31*BG36</f>
        <v>0</v>
      </c>
      <c r="BI36" s="148">
        <f>Postup!O32*BG36</f>
        <v>0</v>
      </c>
      <c r="BJ36" s="157">
        <f>IF(BJ$16="Neaktivní",0,IF(ISBLANK($BK$17),0,BH36*Výpočty!$R$53))</f>
        <v>0</v>
      </c>
      <c r="BK36" s="158">
        <f>IF(BJ$16="Neaktivní",0,IF(ISBLANK($BK$17),0,BI36*Výpočty!$R$53))</f>
        <v>0</v>
      </c>
      <c r="BL36" s="419">
        <f>IF(AND(DAY(Postup!$H$25)=31,MONTH(Postup!$H$25)=12),0,INDEX($E36:$BP36,MATCH($BL$55,$E$55:$BP$55,0))*Výpočty!$E$23)</f>
        <v>0</v>
      </c>
      <c r="BM36" s="158">
        <f>IF(AND(DAY(Postup!$H$25)=31,MONTH(Postup!$H$25)=12),0,INDEX($E36:$BP36,MATCH($BM$55,$E$55:$BP$55,0))*Výpočty!$E$23)</f>
        <v>0</v>
      </c>
      <c r="BN36" s="184"/>
      <c r="BO36" s="184"/>
      <c r="BP36" s="184"/>
    </row>
    <row r="37" spans="1:68" x14ac:dyDescent="0.25">
      <c r="A37" s="260"/>
      <c r="B37" s="47" t="s">
        <v>39</v>
      </c>
      <c r="C37" s="50" t="s">
        <v>40</v>
      </c>
      <c r="D37" s="48" t="s">
        <v>134</v>
      </c>
      <c r="E37" s="187">
        <f>Nabídka!F32</f>
        <v>0</v>
      </c>
      <c r="F37" s="149">
        <f>Nabídka!H32</f>
        <v>0</v>
      </c>
      <c r="G37" s="157">
        <f>IF(AND(DAY(Postup!$H$24)=1,MONTH(Postup!$H$24)=1),0,E37*Výpočty!$E$17)</f>
        <v>0</v>
      </c>
      <c r="H37" s="158">
        <f>IF(AND(DAY(Postup!$H$24)=1,MONTH(Postup!$H$24)=1),0,F37*Výpočty!$E$17)</f>
        <v>0</v>
      </c>
      <c r="I37" s="187">
        <v>0</v>
      </c>
      <c r="J37" s="186">
        <v>0</v>
      </c>
      <c r="K37" s="863"/>
      <c r="L37" s="863"/>
      <c r="M37" s="864"/>
      <c r="N37" s="190" t="str">
        <f t="shared" si="11"/>
        <v xml:space="preserve">-  </v>
      </c>
      <c r="O37" s="187">
        <v>0</v>
      </c>
      <c r="P37" s="149">
        <v>0</v>
      </c>
      <c r="Q37" s="187">
        <v>0</v>
      </c>
      <c r="R37" s="186">
        <v>0</v>
      </c>
      <c r="S37" s="333" t="str">
        <f t="shared" si="12"/>
        <v xml:space="preserve">-  </v>
      </c>
      <c r="T37" s="187">
        <v>0</v>
      </c>
      <c r="U37" s="186">
        <v>0</v>
      </c>
      <c r="V37" s="187">
        <v>0</v>
      </c>
      <c r="W37" s="186">
        <v>0</v>
      </c>
      <c r="X37" s="190" t="str">
        <f t="shared" si="13"/>
        <v xml:space="preserve">-  </v>
      </c>
      <c r="Y37" s="187">
        <v>0</v>
      </c>
      <c r="Z37" s="186">
        <v>0</v>
      </c>
      <c r="AA37" s="187">
        <v>0</v>
      </c>
      <c r="AB37" s="186">
        <v>0</v>
      </c>
      <c r="AC37" s="190" t="str">
        <f t="shared" si="14"/>
        <v xml:space="preserve">-  </v>
      </c>
      <c r="AD37" s="187">
        <v>0</v>
      </c>
      <c r="AE37" s="186">
        <v>0</v>
      </c>
      <c r="AF37" s="187">
        <v>0</v>
      </c>
      <c r="AG37" s="186">
        <v>0</v>
      </c>
      <c r="AH37" s="190" t="str">
        <f t="shared" si="15"/>
        <v xml:space="preserve">-  </v>
      </c>
      <c r="AI37" s="187">
        <v>0</v>
      </c>
      <c r="AJ37" s="186">
        <v>0</v>
      </c>
      <c r="AK37" s="187">
        <v>0</v>
      </c>
      <c r="AL37" s="186">
        <v>0</v>
      </c>
      <c r="AM37" s="190" t="str">
        <f t="shared" si="16"/>
        <v xml:space="preserve">-  </v>
      </c>
      <c r="AN37" s="187">
        <v>0</v>
      </c>
      <c r="AO37" s="186">
        <v>0</v>
      </c>
      <c r="AP37" s="187">
        <v>0</v>
      </c>
      <c r="AQ37" s="186">
        <v>0</v>
      </c>
      <c r="AR37" s="190" t="str">
        <f t="shared" si="17"/>
        <v xml:space="preserve">-  </v>
      </c>
      <c r="AS37" s="187">
        <v>0</v>
      </c>
      <c r="AT37" s="149">
        <v>0</v>
      </c>
      <c r="AU37" s="187">
        <v>0</v>
      </c>
      <c r="AV37" s="186">
        <v>0</v>
      </c>
      <c r="AW37" s="190" t="str">
        <f t="shared" si="18"/>
        <v xml:space="preserve">-  </v>
      </c>
      <c r="AX37" s="187">
        <v>0</v>
      </c>
      <c r="AY37" s="149">
        <v>0</v>
      </c>
      <c r="AZ37" s="187">
        <v>0</v>
      </c>
      <c r="BA37" s="186">
        <v>0</v>
      </c>
      <c r="BB37" s="190" t="str">
        <f t="shared" si="19"/>
        <v xml:space="preserve">-  </v>
      </c>
      <c r="BC37" s="187">
        <v>0</v>
      </c>
      <c r="BD37" s="149">
        <v>0</v>
      </c>
      <c r="BE37" s="187">
        <v>0</v>
      </c>
      <c r="BF37" s="186">
        <v>0</v>
      </c>
      <c r="BG37" s="190" t="str">
        <f t="shared" si="20"/>
        <v xml:space="preserve">-  </v>
      </c>
      <c r="BH37" s="187">
        <v>0</v>
      </c>
      <c r="BI37" s="149">
        <v>0</v>
      </c>
      <c r="BJ37" s="187">
        <v>0</v>
      </c>
      <c r="BK37" s="186">
        <v>0</v>
      </c>
      <c r="BL37" s="419">
        <f>IF(AND(DAY(Postup!$H$25)=31,MONTH(Postup!$H$25)=12),0,INDEX($E37:$BP37,MATCH($BL$55,$E$55:$BP$55,0))*Výpočty!$E$23)</f>
        <v>0</v>
      </c>
      <c r="BM37" s="158">
        <f>IF(AND(DAY(Postup!$H$25)=31,MONTH(Postup!$H$25)=12),0,INDEX($E37:$BP37,MATCH($BM$55,$E$55:$BP$55,0))*Výpočty!$E$23)</f>
        <v>0</v>
      </c>
      <c r="BN37" s="184"/>
      <c r="BO37" s="184"/>
      <c r="BP37" s="184"/>
    </row>
    <row r="38" spans="1:68" x14ac:dyDescent="0.25">
      <c r="A38" s="260"/>
      <c r="B38" s="44" t="s">
        <v>41</v>
      </c>
      <c r="C38" s="45" t="s">
        <v>42</v>
      </c>
      <c r="D38" s="191" t="s">
        <v>134</v>
      </c>
      <c r="E38" s="155">
        <f t="shared" ref="E38:J38" si="28">SUM(E39:E41)</f>
        <v>0</v>
      </c>
      <c r="F38" s="159">
        <f t="shared" si="28"/>
        <v>0</v>
      </c>
      <c r="G38" s="155">
        <f t="shared" si="28"/>
        <v>0</v>
      </c>
      <c r="H38" s="156">
        <f t="shared" si="28"/>
        <v>0</v>
      </c>
      <c r="I38" s="155">
        <f t="shared" si="28"/>
        <v>0</v>
      </c>
      <c r="J38" s="156">
        <f t="shared" si="28"/>
        <v>0</v>
      </c>
      <c r="K38" s="863"/>
      <c r="L38" s="863"/>
      <c r="M38" s="864"/>
      <c r="N38" s="190" t="str">
        <f t="shared" si="11"/>
        <v xml:space="preserve">-  </v>
      </c>
      <c r="O38" s="155">
        <f>SUM(O39:O41)</f>
        <v>0</v>
      </c>
      <c r="P38" s="159">
        <f>SUM(P39:P41)</f>
        <v>0</v>
      </c>
      <c r="Q38" s="155">
        <f>SUM(Q39:Q41)</f>
        <v>0</v>
      </c>
      <c r="R38" s="156">
        <f>SUM(R39:R41)</f>
        <v>0</v>
      </c>
      <c r="S38" s="333" t="str">
        <f t="shared" si="12"/>
        <v xml:space="preserve">-  </v>
      </c>
      <c r="T38" s="155">
        <f>SUM(T39:T41)</f>
        <v>0</v>
      </c>
      <c r="U38" s="156">
        <f>SUM(U39:U41)</f>
        <v>0</v>
      </c>
      <c r="V38" s="155">
        <f>SUM(V39:V41)</f>
        <v>0</v>
      </c>
      <c r="W38" s="156">
        <f>SUM(W39:W41)</f>
        <v>0</v>
      </c>
      <c r="X38" s="190" t="str">
        <f t="shared" si="13"/>
        <v xml:space="preserve">-  </v>
      </c>
      <c r="Y38" s="155">
        <f>SUM(Y39:Y41)</f>
        <v>0</v>
      </c>
      <c r="Z38" s="156">
        <f>SUM(Z39:Z41)</f>
        <v>0</v>
      </c>
      <c r="AA38" s="155">
        <f>SUM(AA39:AA41)</f>
        <v>0</v>
      </c>
      <c r="AB38" s="156">
        <f>SUM(AB39:AB41)</f>
        <v>0</v>
      </c>
      <c r="AC38" s="190" t="str">
        <f t="shared" si="14"/>
        <v xml:space="preserve">-  </v>
      </c>
      <c r="AD38" s="155">
        <f>SUM(AD39:AD41)</f>
        <v>0</v>
      </c>
      <c r="AE38" s="156">
        <f>SUM(AE39:AE41)</f>
        <v>0</v>
      </c>
      <c r="AF38" s="155">
        <f>SUM(AF39:AF41)</f>
        <v>0</v>
      </c>
      <c r="AG38" s="156">
        <f>SUM(AG39:AG41)</f>
        <v>0</v>
      </c>
      <c r="AH38" s="190" t="str">
        <f t="shared" si="15"/>
        <v xml:space="preserve">-  </v>
      </c>
      <c r="AI38" s="155">
        <f>SUM(AI39:AI41)</f>
        <v>0</v>
      </c>
      <c r="AJ38" s="156">
        <f>SUM(AJ39:AJ41)</f>
        <v>0</v>
      </c>
      <c r="AK38" s="155">
        <f>SUM(AK39:AK41)</f>
        <v>0</v>
      </c>
      <c r="AL38" s="156">
        <f>SUM(AL39:AL41)</f>
        <v>0</v>
      </c>
      <c r="AM38" s="190" t="str">
        <f t="shared" si="16"/>
        <v xml:space="preserve">-  </v>
      </c>
      <c r="AN38" s="155">
        <f>SUM(AN39:AN41)</f>
        <v>0</v>
      </c>
      <c r="AO38" s="156">
        <f>SUM(AO39:AO41)</f>
        <v>0</v>
      </c>
      <c r="AP38" s="155">
        <f>SUM(AP39:AP41)</f>
        <v>0</v>
      </c>
      <c r="AQ38" s="156">
        <f>SUM(AQ39:AQ41)</f>
        <v>0</v>
      </c>
      <c r="AR38" s="190" t="str">
        <f t="shared" si="17"/>
        <v xml:space="preserve">-  </v>
      </c>
      <c r="AS38" s="155">
        <f>SUM(AS39:AS41)</f>
        <v>0</v>
      </c>
      <c r="AT38" s="159">
        <f>SUM(AT39:AT41)</f>
        <v>0</v>
      </c>
      <c r="AU38" s="155">
        <f>SUM(AU39:AU41)</f>
        <v>0</v>
      </c>
      <c r="AV38" s="156">
        <f>SUM(AV39:AV41)</f>
        <v>0</v>
      </c>
      <c r="AW38" s="190" t="str">
        <f t="shared" si="18"/>
        <v xml:space="preserve">-  </v>
      </c>
      <c r="AX38" s="155">
        <f>SUM(AX39:AX41)</f>
        <v>0</v>
      </c>
      <c r="AY38" s="159">
        <f>SUM(AY39:AY41)</f>
        <v>0</v>
      </c>
      <c r="AZ38" s="155">
        <f>SUM(AZ39:AZ41)</f>
        <v>0</v>
      </c>
      <c r="BA38" s="156">
        <f>SUM(BA39:BA41)</f>
        <v>0</v>
      </c>
      <c r="BB38" s="190" t="str">
        <f t="shared" si="19"/>
        <v xml:space="preserve">-  </v>
      </c>
      <c r="BC38" s="155">
        <f>SUM(BC39:BC41)</f>
        <v>0</v>
      </c>
      <c r="BD38" s="159">
        <f>SUM(BD39:BD41)</f>
        <v>0</v>
      </c>
      <c r="BE38" s="155">
        <f>SUM(BE39:BE41)</f>
        <v>0</v>
      </c>
      <c r="BF38" s="156">
        <f>SUM(BF39:BF41)</f>
        <v>0</v>
      </c>
      <c r="BG38" s="190" t="str">
        <f t="shared" si="20"/>
        <v xml:space="preserve">-  </v>
      </c>
      <c r="BH38" s="155">
        <f t="shared" ref="BH38:BM38" si="29">SUM(BH39:BH41)</f>
        <v>0</v>
      </c>
      <c r="BI38" s="159">
        <f t="shared" si="29"/>
        <v>0</v>
      </c>
      <c r="BJ38" s="155">
        <f t="shared" si="29"/>
        <v>0</v>
      </c>
      <c r="BK38" s="156">
        <f t="shared" si="29"/>
        <v>0</v>
      </c>
      <c r="BL38" s="420">
        <f t="shared" si="29"/>
        <v>0</v>
      </c>
      <c r="BM38" s="156">
        <f t="shared" si="29"/>
        <v>0</v>
      </c>
      <c r="BN38" s="421"/>
      <c r="BO38" s="421"/>
      <c r="BP38" s="421"/>
    </row>
    <row r="39" spans="1:68" x14ac:dyDescent="0.25">
      <c r="A39" s="260"/>
      <c r="B39" s="47" t="s">
        <v>43</v>
      </c>
      <c r="C39" s="42" t="s">
        <v>44</v>
      </c>
      <c r="D39" s="48" t="s">
        <v>134</v>
      </c>
      <c r="E39" s="187">
        <f>Nabídka!F34</f>
        <v>0</v>
      </c>
      <c r="F39" s="631">
        <f>Nabídka!H34</f>
        <v>0</v>
      </c>
      <c r="G39" s="157">
        <f>IF(AND(DAY(Postup!$H$24)=1,MONTH(Postup!$H$24)=1),0,E39*Výpočty!$E$17)</f>
        <v>0</v>
      </c>
      <c r="H39" s="158">
        <f>IF(AND(DAY(Postup!$H$24)=1,MONTH(Postup!$H$24)=1),0,F39*Výpočty!$E$17)</f>
        <v>0</v>
      </c>
      <c r="I39" s="187">
        <v>0</v>
      </c>
      <c r="J39" s="633">
        <v>0</v>
      </c>
      <c r="K39" s="863"/>
      <c r="L39" s="863"/>
      <c r="M39" s="864"/>
      <c r="N39" s="190" t="str">
        <f t="shared" si="11"/>
        <v xml:space="preserve">-  </v>
      </c>
      <c r="O39" s="187">
        <v>0</v>
      </c>
      <c r="P39" s="631">
        <f>Nabídka!H34</f>
        <v>0</v>
      </c>
      <c r="Q39" s="187">
        <v>0</v>
      </c>
      <c r="R39" s="633">
        <v>0</v>
      </c>
      <c r="S39" s="333" t="str">
        <f t="shared" si="12"/>
        <v xml:space="preserve">-  </v>
      </c>
      <c r="T39" s="187">
        <v>0</v>
      </c>
      <c r="U39" s="631">
        <f>Nabídka!H34</f>
        <v>0</v>
      </c>
      <c r="V39" s="187">
        <v>0</v>
      </c>
      <c r="W39" s="633">
        <v>0</v>
      </c>
      <c r="X39" s="190" t="str">
        <f t="shared" si="13"/>
        <v xml:space="preserve">-  </v>
      </c>
      <c r="Y39" s="187">
        <v>0</v>
      </c>
      <c r="Z39" s="631">
        <f>Nabídka!H34</f>
        <v>0</v>
      </c>
      <c r="AA39" s="187">
        <v>0</v>
      </c>
      <c r="AB39" s="633">
        <v>0</v>
      </c>
      <c r="AC39" s="190" t="str">
        <f t="shared" si="14"/>
        <v xml:space="preserve">-  </v>
      </c>
      <c r="AD39" s="187">
        <v>0</v>
      </c>
      <c r="AE39" s="631">
        <f>Nabídka!H34</f>
        <v>0</v>
      </c>
      <c r="AF39" s="187">
        <v>0</v>
      </c>
      <c r="AG39" s="633">
        <v>0</v>
      </c>
      <c r="AH39" s="190" t="str">
        <f t="shared" si="15"/>
        <v xml:space="preserve">-  </v>
      </c>
      <c r="AI39" s="187">
        <v>0</v>
      </c>
      <c r="AJ39" s="632">
        <f>Nabídka!H34</f>
        <v>0</v>
      </c>
      <c r="AK39" s="187">
        <v>0</v>
      </c>
      <c r="AL39" s="633">
        <v>0</v>
      </c>
      <c r="AM39" s="190" t="str">
        <f t="shared" si="16"/>
        <v xml:space="preserve">-  </v>
      </c>
      <c r="AN39" s="187">
        <v>0</v>
      </c>
      <c r="AO39" s="632">
        <f>Nabídka!H34</f>
        <v>0</v>
      </c>
      <c r="AP39" s="187">
        <v>0</v>
      </c>
      <c r="AQ39" s="633">
        <v>0</v>
      </c>
      <c r="AR39" s="190" t="str">
        <f t="shared" si="17"/>
        <v xml:space="preserve">-  </v>
      </c>
      <c r="AS39" s="187">
        <v>0</v>
      </c>
      <c r="AT39" s="632">
        <f>Nabídka!H34</f>
        <v>0</v>
      </c>
      <c r="AU39" s="187">
        <v>0</v>
      </c>
      <c r="AV39" s="633">
        <v>0</v>
      </c>
      <c r="AW39" s="190" t="str">
        <f t="shared" si="18"/>
        <v xml:space="preserve">-  </v>
      </c>
      <c r="AX39" s="187">
        <v>0</v>
      </c>
      <c r="AY39" s="632">
        <f>Nabídka!H34</f>
        <v>0</v>
      </c>
      <c r="AZ39" s="187">
        <v>0</v>
      </c>
      <c r="BA39" s="633">
        <v>0</v>
      </c>
      <c r="BB39" s="190" t="str">
        <f t="shared" si="19"/>
        <v xml:space="preserve">-  </v>
      </c>
      <c r="BC39" s="187">
        <v>0</v>
      </c>
      <c r="BD39" s="632">
        <f>Nabídka!H34</f>
        <v>0</v>
      </c>
      <c r="BE39" s="187">
        <v>0</v>
      </c>
      <c r="BF39" s="633">
        <v>0</v>
      </c>
      <c r="BG39" s="190" t="str">
        <f t="shared" si="20"/>
        <v xml:space="preserve">-  </v>
      </c>
      <c r="BH39" s="187">
        <v>0</v>
      </c>
      <c r="BI39" s="632">
        <f>Nabídka!H34</f>
        <v>0</v>
      </c>
      <c r="BJ39" s="187">
        <v>0</v>
      </c>
      <c r="BK39" s="633">
        <v>0</v>
      </c>
      <c r="BL39" s="419">
        <f>IF(AND(DAY(Postup!$H$25)=31,MONTH(Postup!$H$25)=12),0,INDEX($E39:$BP39,MATCH($BL$55,$E$55:$BP$55,0))*Výpočty!$E$23)</f>
        <v>0</v>
      </c>
      <c r="BM39" s="637">
        <f>IF(AND(DAY(Postup!$H$25)=31,MONTH(Postup!$H$25)=12),0,INDEX($E39:$BP39,MATCH($BM$55,$E$55:$BP$55,0))*Výpočty!$E$23)</f>
        <v>0</v>
      </c>
      <c r="BN39" s="184"/>
      <c r="BO39" s="184"/>
      <c r="BP39" s="184"/>
    </row>
    <row r="40" spans="1:68" x14ac:dyDescent="0.25">
      <c r="A40" s="260"/>
      <c r="B40" s="47" t="s">
        <v>45</v>
      </c>
      <c r="C40" s="47" t="s">
        <v>46</v>
      </c>
      <c r="D40" s="48" t="s">
        <v>134</v>
      </c>
      <c r="E40" s="157">
        <f>Nabídka!F35</f>
        <v>0</v>
      </c>
      <c r="F40" s="148">
        <f>Nabídka!H35</f>
        <v>0</v>
      </c>
      <c r="G40" s="157">
        <f>IF(AND(DAY(Postup!$H$24)=1,MONTH(Postup!$H$24)=1),0,E40*Výpočty!$E$17)</f>
        <v>0</v>
      </c>
      <c r="H40" s="158">
        <f>IF(AND(DAY(Postup!$H$24)=1,MONTH(Postup!$H$24)=1),0,F40*Výpočty!$E$17)</f>
        <v>0</v>
      </c>
      <c r="I40" s="157">
        <f>IF(I$16="Neaktivní",0,IF(ISBLANK($J$17),0,($E40+(Nabídka!$J35*I$56*$E$47/1000))*Výpočty!$H$53))</f>
        <v>0</v>
      </c>
      <c r="J40" s="158">
        <f>IF(I$16="Neaktivní",0,IF(ISBLANK($J$17),0,($F40+(Nabídka!$K35*J$56*($F$49+$F$51)/1000))*Výpočty!$H$53))</f>
        <v>0</v>
      </c>
      <c r="K40" s="861" t="s">
        <v>158</v>
      </c>
      <c r="L40" s="861"/>
      <c r="M40" s="862"/>
      <c r="N40" s="190">
        <f t="shared" si="11"/>
        <v>1</v>
      </c>
      <c r="O40" s="157">
        <f>($E40+(Nabídka!$J35*O$56*$E$47/1000))*N40</f>
        <v>0</v>
      </c>
      <c r="P40" s="148">
        <f>($F40+(Nabídka!$K35*P$56*($F$49+$F$51)/1000))*N40</f>
        <v>0</v>
      </c>
      <c r="Q40" s="157">
        <f>IF(Q$16="Neaktivní",0,IF(ISBLANK($R$17),0,($E40+(Nabídka!$J35*Q$56*$E$47/1000))*Výpočty!$I$53*N40))</f>
        <v>0</v>
      </c>
      <c r="R40" s="158">
        <f>IF(Q$16="Neaktivní",0,IF(ISBLANK($R$17),0,($F40+(Nabídka!$K35*R$56*($F$49+$F$51)/1000))*Výpočty!$I$53*N40))</f>
        <v>0</v>
      </c>
      <c r="S40" s="333">
        <f t="shared" si="12"/>
        <v>1</v>
      </c>
      <c r="T40" s="157">
        <f>($E40+(Nabídka!$J35*T$56*$E$47/1000))*S40</f>
        <v>0</v>
      </c>
      <c r="U40" s="158">
        <f>($F40+(Nabídka!$K35*U$56*($F$49+$F$51)/1000))*S40</f>
        <v>0</v>
      </c>
      <c r="V40" s="157">
        <f>IF(V$16="Neaktivní",0,IF(ISBLANK($W$17),0,($E40+(Nabídka!$J35*V$56*$E$47/1000))*Výpočty!$J$53*S40))</f>
        <v>0</v>
      </c>
      <c r="W40" s="158">
        <f>IF(V$16="Neaktivní",0,IF(ISBLANK($W$17),0,($F40+(Nabídka!$K35*W$56*($F$49+$F$51)/1000))*Výpočty!$J$53*S40))</f>
        <v>0</v>
      </c>
      <c r="X40" s="190">
        <f t="shared" si="13"/>
        <v>1</v>
      </c>
      <c r="Y40" s="157">
        <f>($E40+(Nabídka!$J35*Y$56*$E$47/1000))*X40</f>
        <v>0</v>
      </c>
      <c r="Z40" s="158">
        <f>($F40+(Nabídka!$K35*Z$56*($F$49+$F$51)/1000))*X40</f>
        <v>0</v>
      </c>
      <c r="AA40" s="157">
        <f>IF(AA$16="Neaktivní",0,IF(ISBLANK($AB$17),0,($E40+(Nabídka!$J35*AA$56*$E$47/1000))*Výpočty!$K$53*X40))</f>
        <v>0</v>
      </c>
      <c r="AB40" s="158">
        <f>IF(AA$16="Neaktivní",0,IF(ISBLANK($AB$17),0,($F40+(Nabídka!$K35*AB$56*($F$49+$F$51)/1000))*Výpočty!$K$53*X40))</f>
        <v>0</v>
      </c>
      <c r="AC40" s="190">
        <f t="shared" si="14"/>
        <v>1</v>
      </c>
      <c r="AD40" s="157">
        <f>($E40+(Nabídka!$J35*AD$56*$E$47/1000))*AC40</f>
        <v>0</v>
      </c>
      <c r="AE40" s="158">
        <f>($F40+(Nabídka!$K35*AE$56*($F$49+$F$51)/1000))*AC40</f>
        <v>0</v>
      </c>
      <c r="AF40" s="157">
        <f>IF(AF$16="Neaktivní",0,IF(ISBLANK($AG$17),0,($E40+(Nabídka!$J35*AF$56*$E$47/1000))*Výpočty!$L$53*AC40))</f>
        <v>0</v>
      </c>
      <c r="AG40" s="158">
        <f>IF(AF$16="Neaktivní",0,IF(ISBLANK($AG$17),0,($F40+(Nabídka!$K35*AG$56*($F$49+$F$51)/1000))*Výpočty!$L$53*AC40))</f>
        <v>0</v>
      </c>
      <c r="AH40" s="190">
        <f t="shared" si="15"/>
        <v>1</v>
      </c>
      <c r="AI40" s="157">
        <f>($E40+(Nabídka!$J35*AI$56*$E$47/1000))*AH40</f>
        <v>0</v>
      </c>
      <c r="AJ40" s="158">
        <f>($F40+(Nabídka!$K35*AJ$56*($F$49+$F$51)/1000))*AH40</f>
        <v>0</v>
      </c>
      <c r="AK40" s="157">
        <f>IF(AK$16="Neaktivní",0,IF(ISBLANK($AG$17),0,($E40+(Nabídka!$J35*AK$56*$E$47/1000))*Výpočty!$M$53*AH40))</f>
        <v>0</v>
      </c>
      <c r="AL40" s="158">
        <f>IF(AK$16="Neaktivní",0,IF(ISBLANK($AG$17),0,($F40+(Nabídka!$K35*AL$56*($F$49+$F$51)/1000))*Výpočty!$M$53*AH40))</f>
        <v>0</v>
      </c>
      <c r="AM40" s="190">
        <f t="shared" si="16"/>
        <v>1</v>
      </c>
      <c r="AN40" s="157">
        <f>($E40+(Nabídka!$J35*AN$56*$E$47/1000))*AM40</f>
        <v>0</v>
      </c>
      <c r="AO40" s="158">
        <f>($F40+(Nabídka!$K35*AO$56*($F$49+$F$51)/1000))*AM40</f>
        <v>0</v>
      </c>
      <c r="AP40" s="157">
        <f>IF(AP$16="Neaktivní",0,IF(ISBLANK($AQ$17),0,($E40+(Nabídka!$J35*AP$56*$E$47/1000))*Výpočty!$N$53*AM40))</f>
        <v>0</v>
      </c>
      <c r="AQ40" s="158">
        <f>IF(AP$16="Neaktivní",0,IF(ISBLANK($AQ$17),0,($F40+(Nabídka!$K35*AQ$56*($F$49+$F$51)/1000))*Výpočty!$N$53*AM40))</f>
        <v>0</v>
      </c>
      <c r="AR40" s="190">
        <f t="shared" si="17"/>
        <v>1</v>
      </c>
      <c r="AS40" s="157">
        <f>($E40+(Nabídka!$J35*AS$56*$E$47/1000))*AR40</f>
        <v>0</v>
      </c>
      <c r="AT40" s="148">
        <f>($F40+(Nabídka!$K35*AT$56*($F$49+$F$51)/1000))*AR40</f>
        <v>0</v>
      </c>
      <c r="AU40" s="157">
        <f>IF(AU$16="Neaktivní",0,IF(ISBLANK($AV$17),0,($E40+(Nabídka!$J35*AU$56*$E$47/1000))*Výpočty!$O$53*AR40))</f>
        <v>0</v>
      </c>
      <c r="AV40" s="158">
        <f>IF(AU$16="Neaktivní",0,IF(ISBLANK($AV$17),0,($F40+(Nabídka!$K35*AV$56*($F$49+$F$51)/1000))*Výpočty!$O$53*AR40))</f>
        <v>0</v>
      </c>
      <c r="AW40" s="190">
        <f t="shared" si="18"/>
        <v>1</v>
      </c>
      <c r="AX40" s="157">
        <f>($E40+(Nabídka!$J35*AX$56*$E$47/1000))*AW40</f>
        <v>0</v>
      </c>
      <c r="AY40" s="148">
        <f>($F40+(Nabídka!$K35*AY$56*($F$49+$F$51)/1000))*AW40</f>
        <v>0</v>
      </c>
      <c r="AZ40" s="157">
        <f>IF(AZ$16="Neaktivní",0,IF(ISBLANK($BA$17),0,($E40+(Nabídka!$J35*AZ$56*$E$47/1000))*Výpočty!$P$53*AW40))</f>
        <v>0</v>
      </c>
      <c r="BA40" s="158">
        <f>IF(AZ$16="Neaktivní",0,IF(ISBLANK($BA$17),0,($F40+(Nabídka!$K35*BA$56*($F$49+$F$51)/1000))*Výpočty!$P$53*AW40))</f>
        <v>0</v>
      </c>
      <c r="BB40" s="190">
        <f t="shared" si="19"/>
        <v>1</v>
      </c>
      <c r="BC40" s="157">
        <f>($E40+(Nabídka!$J35*BC$56*$E$47/1000))*BB40</f>
        <v>0</v>
      </c>
      <c r="BD40" s="148">
        <f>($F40+(Nabídka!$K35*BD$56*($F$49+$F$51)/1000))*BB40</f>
        <v>0</v>
      </c>
      <c r="BE40" s="157">
        <f>IF(BE$16="Neaktivní",0,IF(ISBLANK($BF$17),0,($E40+(Nabídka!$J35*BE$56*$E$47/1000))*Výpočty!$Q$53*BB40))</f>
        <v>0</v>
      </c>
      <c r="BF40" s="158">
        <f>IF(BE$16="Neaktivní",0,IF(ISBLANK($BF$17),0,($F40+(Nabídka!$K35*BF$56*($F$49+$F$51)/1000))*Výpočty!$Q$53*BB40))</f>
        <v>0</v>
      </c>
      <c r="BG40" s="190">
        <f t="shared" si="20"/>
        <v>1</v>
      </c>
      <c r="BH40" s="157">
        <f>($E40+(Nabídka!$J35*BH$56*$E$47/1000))*BG40</f>
        <v>0</v>
      </c>
      <c r="BI40" s="148">
        <f>($F40+(Nabídka!$K35*BI$56*($F$49+$F$51)/1000))*BG40</f>
        <v>0</v>
      </c>
      <c r="BJ40" s="157">
        <f>IF(BJ$16="Neaktivní",0,IF(ISBLANK($BK$17),0,($E40+(Nabídka!$J35*BJ$56*$E$47/1000))*Výpočty!$R$53*BG40))</f>
        <v>0</v>
      </c>
      <c r="BK40" s="158">
        <f>IF(BJ$16="Neaktivní",0,IF(ISBLANK($BK$17),0,($F40+(Nabídka!$K35*BK$56*($F$49+$F$51)/1000))*Výpočty!$R$53*BG40))</f>
        <v>0</v>
      </c>
      <c r="BL40" s="419">
        <f>IF(AND(DAY(Postup!$H$25)=31,MONTH(Postup!$H$25)=12),0,INDEX($E40:$BP40,MATCH($BL$55,$E$55:$BP$55,0))*Výpočty!$E$23)</f>
        <v>0</v>
      </c>
      <c r="BM40" s="158">
        <f>IF(AND(DAY(Postup!$H$25)=31,MONTH(Postup!$H$25)=12),0,INDEX($E40:$BP40,MATCH($BM$55,$E$55:$BP$55,0))*Výpočty!$E$23)</f>
        <v>0</v>
      </c>
      <c r="BN40" s="184"/>
      <c r="BO40" s="184"/>
      <c r="BP40" s="184"/>
    </row>
    <row r="41" spans="1:68" x14ac:dyDescent="0.25">
      <c r="A41" s="260"/>
      <c r="B41" s="47" t="s">
        <v>47</v>
      </c>
      <c r="C41" s="42" t="s">
        <v>48</v>
      </c>
      <c r="D41" s="48" t="s">
        <v>134</v>
      </c>
      <c r="E41" s="157">
        <f>Nabídka!F36</f>
        <v>0</v>
      </c>
      <c r="F41" s="148">
        <f>Nabídka!H36</f>
        <v>0</v>
      </c>
      <c r="G41" s="157">
        <f>IF(AND(DAY(Postup!$H$24)=1,MONTH(Postup!$H$24)=1),0,E41*Výpočty!$E$17)</f>
        <v>0</v>
      </c>
      <c r="H41" s="158">
        <f>IF(AND(DAY(Postup!$H$24)=1,MONTH(Postup!$H$24)=1),0,F41*Výpočty!$E$17)</f>
        <v>0</v>
      </c>
      <c r="I41" s="157">
        <f>IF(I$16="Neaktivní",0,IF(ISBLANK($J$17),0,($E41+(Nabídka!$J36*I$56*$E$47/1000))*Výpočty!$H$53))</f>
        <v>0</v>
      </c>
      <c r="J41" s="158">
        <f>IF(I$16="Neaktivní",0,IF(ISBLANK($J$17),0,($F41+(Nabídka!$K36*J$56*($F$49+$F$51)/1000))*Výpočty!$H$53))</f>
        <v>0</v>
      </c>
      <c r="K41" s="861" t="s">
        <v>158</v>
      </c>
      <c r="L41" s="861"/>
      <c r="M41" s="862"/>
      <c r="N41" s="190">
        <f t="shared" si="11"/>
        <v>1</v>
      </c>
      <c r="O41" s="157">
        <f>($E41+(Nabídka!$J36*O$56*$E$47/1000))*N41</f>
        <v>0</v>
      </c>
      <c r="P41" s="148">
        <f>($F41+(Nabídka!$K36*P$56*($F$49+$F$51)/1000))*N41</f>
        <v>0</v>
      </c>
      <c r="Q41" s="157">
        <f>IF(Q$16="Neaktivní",0,IF(ISBLANK($R$17),0,($E41+(Nabídka!$J36*Q$56*$E$47/1000))*Výpočty!$I$53*N41))</f>
        <v>0</v>
      </c>
      <c r="R41" s="158">
        <f>IF(Q$16="Neaktivní",0,IF(ISBLANK($R$17),0,($F41+(Nabídka!$K36*R$56*($F$49+$F$51)/1000))*Výpočty!$I$53*N41))</f>
        <v>0</v>
      </c>
      <c r="S41" s="333">
        <f t="shared" si="12"/>
        <v>1</v>
      </c>
      <c r="T41" s="157">
        <f>($E41+(Nabídka!$J36*T$56*$E$47/1000))*S41</f>
        <v>0</v>
      </c>
      <c r="U41" s="158">
        <f>($F41+(Nabídka!$K36*U$56*($F$49+$F$51)/1000))*S41</f>
        <v>0</v>
      </c>
      <c r="V41" s="157">
        <f>IF(V$16="Neaktivní",0,IF(ISBLANK($W$17),0,($E41+(Nabídka!$J36*V$56*$E$47/1000))*Výpočty!$J$53*S41))</f>
        <v>0</v>
      </c>
      <c r="W41" s="158">
        <f>IF(V$16="Neaktivní",0,IF(ISBLANK($W$17),0,($F41+(Nabídka!$K36*W$56*($F$49+$F$51)/1000))*Výpočty!$J$53*S41))</f>
        <v>0</v>
      </c>
      <c r="X41" s="190">
        <f t="shared" si="13"/>
        <v>1</v>
      </c>
      <c r="Y41" s="157">
        <f>($E41+(Nabídka!$J36*Y$56*$E$47/1000))*X41</f>
        <v>0</v>
      </c>
      <c r="Z41" s="158">
        <f>($F41+(Nabídka!$K36*Z$56*($F$49+$F$51)/1000))*X41</f>
        <v>0</v>
      </c>
      <c r="AA41" s="157">
        <f>IF(AA$16="Neaktivní",0,IF(ISBLANK($AB$17),0,($E41+(Nabídka!$J36*AA$56*$E$47/1000))*Výpočty!$K$53*X41))</f>
        <v>0</v>
      </c>
      <c r="AB41" s="158">
        <f>IF(AA$16="Neaktivní",0,IF(ISBLANK($AB$17),0,($F41+(Nabídka!$K36*AB$56*($F$49+$F$51)/1000))*Výpočty!$K$53*X41))</f>
        <v>0</v>
      </c>
      <c r="AC41" s="190">
        <f t="shared" si="14"/>
        <v>1</v>
      </c>
      <c r="AD41" s="157">
        <f>($E41+(Nabídka!$J36*AD$56*$E$47/1000))*AC41</f>
        <v>0</v>
      </c>
      <c r="AE41" s="158">
        <f>($F41+(Nabídka!$K36*AE$56*($F$49+$F$51)/1000))*AC41</f>
        <v>0</v>
      </c>
      <c r="AF41" s="157">
        <f>IF(AF$16="Neaktivní",0,IF(ISBLANK($AG$17),0,($E41+(Nabídka!$J36*AF$56*$E$47/1000))*Výpočty!$L$53*AC41))</f>
        <v>0</v>
      </c>
      <c r="AG41" s="158">
        <f>IF(AF$16="Neaktivní",0,IF(ISBLANK($AG$17),0,($F41+(Nabídka!$K36*AG$56*($F$49+$F$51)/1000))*Výpočty!$L$53*AC41))</f>
        <v>0</v>
      </c>
      <c r="AH41" s="190">
        <f t="shared" si="15"/>
        <v>1</v>
      </c>
      <c r="AI41" s="157">
        <f>($E41+(Nabídka!$J36*AI$56*$E$47/1000))*AH41</f>
        <v>0</v>
      </c>
      <c r="AJ41" s="158">
        <f>($F41+(Nabídka!$K36*AJ$56*($F$49+$F$51)/1000))*AH41</f>
        <v>0</v>
      </c>
      <c r="AK41" s="157">
        <f>IF(AK$16="Neaktivní",0,IF(ISBLANK($AG$17),0,($E41+(Nabídka!$J36*AK$56*$E$47/1000))*Výpočty!$M$53*AH41))</f>
        <v>0</v>
      </c>
      <c r="AL41" s="158">
        <f>IF(AK$16="Neaktivní",0,IF(ISBLANK($AG$17),0,($F41+(Nabídka!$K36*AL$56*($F$49+$F$51)/1000))*Výpočty!$M$53*AH41))</f>
        <v>0</v>
      </c>
      <c r="AM41" s="190">
        <f t="shared" si="16"/>
        <v>1</v>
      </c>
      <c r="AN41" s="157">
        <f>($E41+(Nabídka!$J36*AN$56*$E$47/1000))*AM41</f>
        <v>0</v>
      </c>
      <c r="AO41" s="158">
        <f>($F41+(Nabídka!$K36*AO$56*($F$49+$F$51)/1000))*AM41</f>
        <v>0</v>
      </c>
      <c r="AP41" s="157">
        <f>IF(AP$16="Neaktivní",0,IF(ISBLANK($AQ$17),0,($E41+(Nabídka!$J36*AP$56*$E$47/1000))*Výpočty!$N$53*AM41))</f>
        <v>0</v>
      </c>
      <c r="AQ41" s="158">
        <f>IF(AP$16="Neaktivní",0,IF(ISBLANK($AQ$17),0,($F41+(Nabídka!$K36*AQ$56*($F$49+$F$51)/1000))*Výpočty!$N$53*AM41))</f>
        <v>0</v>
      </c>
      <c r="AR41" s="190">
        <f t="shared" si="17"/>
        <v>1</v>
      </c>
      <c r="AS41" s="157">
        <f>($E41+(Nabídka!$J36*AS$56*$E$47/1000))*AR41</f>
        <v>0</v>
      </c>
      <c r="AT41" s="148">
        <f>($F41+(Nabídka!$K36*AT$56*($F$49+$F$51)/1000))*AR41</f>
        <v>0</v>
      </c>
      <c r="AU41" s="157">
        <f>IF(AU$16="Neaktivní",0,IF(ISBLANK($AV$17),0,($E41+(Nabídka!$J36*AU$56*$E$47/1000))*Výpočty!$O$53*AR41))</f>
        <v>0</v>
      </c>
      <c r="AV41" s="158">
        <f>IF(AU$16="Neaktivní",0,IF(ISBLANK($AV$17),0,($F41+(Nabídka!$K36*AV$56*($F$49+$F$51)/1000))*Výpočty!$O$53*AR41))</f>
        <v>0</v>
      </c>
      <c r="AW41" s="190">
        <f t="shared" si="18"/>
        <v>1</v>
      </c>
      <c r="AX41" s="157">
        <f>($E41+(Nabídka!$J36*AX$56*$E$47/1000))*AW41</f>
        <v>0</v>
      </c>
      <c r="AY41" s="148">
        <f>($F41+(Nabídka!$K36*AY$56*($F$49+$F$51)/1000))*AW41</f>
        <v>0</v>
      </c>
      <c r="AZ41" s="157">
        <f>IF(AZ$16="Neaktivní",0,IF(ISBLANK($BA$17),0,($E41+(Nabídka!$J36*AZ$56*$E$47/1000))*Výpočty!$P$53*AW41))</f>
        <v>0</v>
      </c>
      <c r="BA41" s="158">
        <f>IF(AZ$16="Neaktivní",0,IF(ISBLANK($BA$17),0,($F41+(Nabídka!$K36*BA$56*($F$49+$F$51)/1000))*Výpočty!$P$53*AW41))</f>
        <v>0</v>
      </c>
      <c r="BB41" s="190">
        <f t="shared" si="19"/>
        <v>1</v>
      </c>
      <c r="BC41" s="157">
        <f>($E41+(Nabídka!$J36*BC$56*$E$47/1000))*BB41</f>
        <v>0</v>
      </c>
      <c r="BD41" s="148">
        <f>($F41+(Nabídka!$K36*BD$56*($F$49+$F$51)/1000))*BB41</f>
        <v>0</v>
      </c>
      <c r="BE41" s="157">
        <f>IF(BE$16="Neaktivní",0,IF(ISBLANK($BF$17),0,($E41+(Nabídka!$J36*BE$56*$E$47/1000))*Výpočty!$Q$53*BB41))</f>
        <v>0</v>
      </c>
      <c r="BF41" s="158">
        <f>IF(BE$16="Neaktivní",0,IF(ISBLANK($BF$17),0,($F41+(Nabídka!$K36*BF$56*($F$49+$F$51)/1000))*Výpočty!$Q$53*BB41))</f>
        <v>0</v>
      </c>
      <c r="BG41" s="190">
        <f t="shared" si="20"/>
        <v>1</v>
      </c>
      <c r="BH41" s="157">
        <f>($E41+(Nabídka!$J36*BH$56*$E$47/1000))*BG41</f>
        <v>0</v>
      </c>
      <c r="BI41" s="148">
        <f>($F41+(Nabídka!$K36*BI$56*($F$49+$F$51)/1000))*BG41</f>
        <v>0</v>
      </c>
      <c r="BJ41" s="157">
        <f>IF(BJ$16="Neaktivní",0,IF(ISBLANK($BK$17),0,($E41+(Nabídka!$J36*BJ$56*$E$47/1000))*Výpočty!$R$53*BG41))</f>
        <v>0</v>
      </c>
      <c r="BK41" s="158">
        <f>IF(BJ$16="Neaktivní",0,IF(ISBLANK($BK$17),0,($F41+(Nabídka!$K36*BK$56*($F$49+$F$51)/1000))*Výpočty!$R$53*BG41))</f>
        <v>0</v>
      </c>
      <c r="BL41" s="419">
        <f>IF(AND(DAY(Postup!$H$25)=31,MONTH(Postup!$H$25)=12),0,INDEX($E41:$BP41,MATCH($BL$55,$E$55:$BP$55,0))*Výpočty!$E$23)</f>
        <v>0</v>
      </c>
      <c r="BM41" s="158">
        <f>IF(AND(DAY(Postup!$H$25)=31,MONTH(Postup!$H$25)=12),0,INDEX($E41:$BP41,MATCH($BM$55,$E$55:$BP$55,0))*Výpočty!$E$23)</f>
        <v>0</v>
      </c>
      <c r="BN41" s="184"/>
      <c r="BO41" s="184"/>
      <c r="BP41" s="184"/>
    </row>
    <row r="42" spans="1:68" x14ac:dyDescent="0.25">
      <c r="A42" s="260"/>
      <c r="B42" s="44" t="s">
        <v>49</v>
      </c>
      <c r="C42" s="45" t="s">
        <v>50</v>
      </c>
      <c r="D42" s="191" t="s">
        <v>134</v>
      </c>
      <c r="E42" s="157">
        <f>Nabídka!F37</f>
        <v>0</v>
      </c>
      <c r="F42" s="148">
        <f>Nabídka!H37</f>
        <v>0</v>
      </c>
      <c r="G42" s="157">
        <f>IF(AND(DAY(Postup!$H$24)=1,MONTH(Postup!$H$24)=1),0,E42*Výpočty!$E$17)</f>
        <v>0</v>
      </c>
      <c r="H42" s="158">
        <f>IF(AND(DAY(Postup!$H$24)=1,MONTH(Postup!$H$24)=1),0,F42*Výpočty!$E$17)</f>
        <v>0</v>
      </c>
      <c r="I42" s="157">
        <f>IF(I$16="Neaktivní",0,IF(ISBLANK($J$17),0,E42*Výpočty!$H$53))</f>
        <v>0</v>
      </c>
      <c r="J42" s="158">
        <f>IF(I$16="Neaktivní",0,IF(ISBLANK($J$17),0,F42*Výpočty!$H$53))</f>
        <v>0</v>
      </c>
      <c r="K42" s="861" t="s">
        <v>162</v>
      </c>
      <c r="L42" s="861"/>
      <c r="M42" s="862"/>
      <c r="N42" s="190">
        <f t="shared" si="11"/>
        <v>1</v>
      </c>
      <c r="O42" s="157">
        <f t="shared" ref="O42:O43" si="30">$E42*N42</f>
        <v>0</v>
      </c>
      <c r="P42" s="148">
        <f t="shared" ref="P42:P43" si="31">$F42*N42</f>
        <v>0</v>
      </c>
      <c r="Q42" s="157">
        <f>IF(Q$16="Neaktivní",0,IF(ISBLANK($R$17),0,$E42*Výpočty!$I$53*N42))</f>
        <v>0</v>
      </c>
      <c r="R42" s="158">
        <f>IF(Q$16="Neaktivní",0,IF(ISBLANK($R$17),0,$F42*Výpočty!$I$53*N42))</f>
        <v>0</v>
      </c>
      <c r="S42" s="333">
        <f t="shared" si="12"/>
        <v>1</v>
      </c>
      <c r="T42" s="157">
        <f t="shared" ref="T42:T43" si="32">$E42*S42</f>
        <v>0</v>
      </c>
      <c r="U42" s="158">
        <f t="shared" ref="U42:U43" si="33">$F42*S42</f>
        <v>0</v>
      </c>
      <c r="V42" s="157">
        <f>IF(V$16="Neaktivní",0,IF(ISBLANK($W$17),0,$E42*Výpočty!$J$53*S42))</f>
        <v>0</v>
      </c>
      <c r="W42" s="158">
        <f>IF(V$16="Neaktivní",0,IF(ISBLANK($W$17),0,$F42*Výpočty!$J$53*S42))</f>
        <v>0</v>
      </c>
      <c r="X42" s="190">
        <f t="shared" si="13"/>
        <v>1</v>
      </c>
      <c r="Y42" s="157">
        <f t="shared" ref="Y42:Y43" si="34">$E42*X42</f>
        <v>0</v>
      </c>
      <c r="Z42" s="158">
        <f t="shared" ref="Z42:Z43" si="35">$F42*X42</f>
        <v>0</v>
      </c>
      <c r="AA42" s="157">
        <f>IF(AA$16="Neaktivní",0,IF(ISBLANK($AB$17),0,$E42*Výpočty!$K$53*X42))</f>
        <v>0</v>
      </c>
      <c r="AB42" s="158">
        <f>IF(AA$16="Neaktivní",0,IF(ISBLANK($AB$17),0,$F42*Výpočty!$K$53*X42))</f>
        <v>0</v>
      </c>
      <c r="AC42" s="190">
        <f t="shared" si="14"/>
        <v>1</v>
      </c>
      <c r="AD42" s="157">
        <f t="shared" ref="AD42:AD43" si="36">$E42*AC42</f>
        <v>0</v>
      </c>
      <c r="AE42" s="158">
        <f t="shared" ref="AE42:AE43" si="37">$F42*AC42</f>
        <v>0</v>
      </c>
      <c r="AF42" s="157">
        <f>IF(AF$16="Neaktivní",0,IF(ISBLANK($AG$17),0,$E42*Výpočty!$L$53*AC42))</f>
        <v>0</v>
      </c>
      <c r="AG42" s="158">
        <f>IF(AF$16="Neaktivní",0,IF(ISBLANK($AG$17),0,$F42*Výpočty!$L$53*AC42))</f>
        <v>0</v>
      </c>
      <c r="AH42" s="190">
        <f t="shared" si="15"/>
        <v>1</v>
      </c>
      <c r="AI42" s="157">
        <f t="shared" ref="AI42:AI43" si="38">$E42*AH42</f>
        <v>0</v>
      </c>
      <c r="AJ42" s="158">
        <f t="shared" ref="AJ42:AJ43" si="39">$F42*AH42</f>
        <v>0</v>
      </c>
      <c r="AK42" s="157">
        <f>IF(AK$16="Neaktivní",0,IF(ISBLANK($AG$17),0,$E42*Výpočty!$M$53*AH42))</f>
        <v>0</v>
      </c>
      <c r="AL42" s="158">
        <f>IF(AK$16="Neaktivní",0,IF(ISBLANK($AG$17),0,$F42*Výpočty!$M$53*AH42))</f>
        <v>0</v>
      </c>
      <c r="AM42" s="190">
        <f t="shared" si="16"/>
        <v>1</v>
      </c>
      <c r="AN42" s="157">
        <f t="shared" ref="AN42:AN43" si="40">$E42*AM42</f>
        <v>0</v>
      </c>
      <c r="AO42" s="158">
        <f t="shared" ref="AO42:AO43" si="41">$F42*AM42</f>
        <v>0</v>
      </c>
      <c r="AP42" s="157">
        <f>IF(AP$16="Neaktivní",0,IF(ISBLANK($AQ$17),0,$E42*Výpočty!$N$53*AM42))</f>
        <v>0</v>
      </c>
      <c r="AQ42" s="158">
        <f>IF(AP$16="Neaktivní",0,IF(ISBLANK($AQ$17),0,$F42*Výpočty!$N$53*AM42))</f>
        <v>0</v>
      </c>
      <c r="AR42" s="190">
        <f t="shared" si="17"/>
        <v>1</v>
      </c>
      <c r="AS42" s="157">
        <f t="shared" ref="AS42:AS43" si="42">$E42*AR42</f>
        <v>0</v>
      </c>
      <c r="AT42" s="158">
        <f t="shared" ref="AT42:AT43" si="43">$F42*AR42</f>
        <v>0</v>
      </c>
      <c r="AU42" s="157">
        <f>IF(AU$16="Neaktivní",0,IF(ISBLANK($AV$17),0,$E42*Výpočty!$O$53*AR42))</f>
        <v>0</v>
      </c>
      <c r="AV42" s="158">
        <f>IF(AU$16="Neaktivní",0,IF(ISBLANK($AV$17),0,$F42*Výpočty!$O$53*AR42))</f>
        <v>0</v>
      </c>
      <c r="AW42" s="190">
        <f t="shared" si="18"/>
        <v>1</v>
      </c>
      <c r="AX42" s="157">
        <f t="shared" ref="AX42:AX43" si="44">$E42*AW42</f>
        <v>0</v>
      </c>
      <c r="AY42" s="158">
        <f t="shared" ref="AY42:AY43" si="45">$F42*AW42</f>
        <v>0</v>
      </c>
      <c r="AZ42" s="157">
        <f>IF(AZ$16="Neaktivní",0,IF(ISBLANK($BA$17),0,$E42*Výpočty!$P$53*AW42))</f>
        <v>0</v>
      </c>
      <c r="BA42" s="158">
        <f>IF(AZ$16="Neaktivní",0,IF(ISBLANK($BA$17),0,$F42*Výpočty!$P$53*AW42))</f>
        <v>0</v>
      </c>
      <c r="BB42" s="190">
        <f t="shared" si="19"/>
        <v>1</v>
      </c>
      <c r="BC42" s="157">
        <f t="shared" ref="BC42:BC43" si="46">$E42*BB42</f>
        <v>0</v>
      </c>
      <c r="BD42" s="158">
        <f t="shared" ref="BD42:BD43" si="47">$F42*BB42</f>
        <v>0</v>
      </c>
      <c r="BE42" s="157">
        <f>IF(BE$16="Neaktivní",0,IF(ISBLANK($BF$17),0,$E42*Výpočty!$Q$53*BB42))</f>
        <v>0</v>
      </c>
      <c r="BF42" s="158">
        <f>IF(BE$16="Neaktivní",0,IF(ISBLANK($BF$17),0,$F42*Výpočty!$Q$53*BB42))</f>
        <v>0</v>
      </c>
      <c r="BG42" s="190">
        <f t="shared" si="20"/>
        <v>1</v>
      </c>
      <c r="BH42" s="157">
        <f t="shared" ref="BH42:BH43" si="48">$E42*BG42</f>
        <v>0</v>
      </c>
      <c r="BI42" s="158">
        <f t="shared" ref="BI42:BI43" si="49">$F42*BG42</f>
        <v>0</v>
      </c>
      <c r="BJ42" s="157">
        <f>IF(BJ$16="Neaktivní",0,IF(ISBLANK($BK$17),0,$E42*Výpočty!$R$53*BG42))</f>
        <v>0</v>
      </c>
      <c r="BK42" s="158">
        <f>IF(BJ$16="Neaktivní",0,IF(ISBLANK($BK$17),0,$F42*Výpočty!$R$53*BG42))</f>
        <v>0</v>
      </c>
      <c r="BL42" s="419">
        <f>IF(AND(DAY(Postup!$H$25)=31,MONTH(Postup!$H$25)=12),0,INDEX($E42:$BP42,MATCH($BL$55,$E$55:$BP$55,0))*Výpočty!$E$23)</f>
        <v>0</v>
      </c>
      <c r="BM42" s="158">
        <f>IF(AND(DAY(Postup!$H$25)=31,MONTH(Postup!$H$25)=12),0,INDEX($E42:$BP42,MATCH($BM$55,$E$55:$BP$55,0))*Výpočty!$E$23)</f>
        <v>0</v>
      </c>
      <c r="BN42" s="184"/>
      <c r="BO42" s="184"/>
      <c r="BP42" s="184"/>
    </row>
    <row r="43" spans="1:68" x14ac:dyDescent="0.25">
      <c r="A43" s="260"/>
      <c r="B43" s="44" t="s">
        <v>51</v>
      </c>
      <c r="C43" s="45" t="s">
        <v>52</v>
      </c>
      <c r="D43" s="191" t="s">
        <v>134</v>
      </c>
      <c r="E43" s="157">
        <f>Nabídka!F38</f>
        <v>0</v>
      </c>
      <c r="F43" s="148">
        <f>Nabídka!H38</f>
        <v>0</v>
      </c>
      <c r="G43" s="157">
        <f>IF(AND(DAY(Postup!$H$24)=1,MONTH(Postup!$H$24)=1),0,E43*Výpočty!$E$17)</f>
        <v>0</v>
      </c>
      <c r="H43" s="158">
        <f>IF(AND(DAY(Postup!$H$24)=1,MONTH(Postup!$H$24)=1),0,F43*Výpočty!$E$17)</f>
        <v>0</v>
      </c>
      <c r="I43" s="157">
        <f>IF(I$16="Neaktivní",0,IF(ISBLANK($J$17),0,E43*Výpočty!$H$53))</f>
        <v>0</v>
      </c>
      <c r="J43" s="158">
        <f>IF(I$16="Neaktivní",0,IF(ISBLANK($J$17),0,F43*Výpočty!$H$53))</f>
        <v>0</v>
      </c>
      <c r="K43" s="861" t="s">
        <v>162</v>
      </c>
      <c r="L43" s="861"/>
      <c r="M43" s="862"/>
      <c r="N43" s="190">
        <f t="shared" si="11"/>
        <v>1</v>
      </c>
      <c r="O43" s="157">
        <f t="shared" si="30"/>
        <v>0</v>
      </c>
      <c r="P43" s="148">
        <f t="shared" si="31"/>
        <v>0</v>
      </c>
      <c r="Q43" s="157">
        <f>IF(Q$16="Neaktivní",0,IF(ISBLANK($R$17),0,$E43*Výpočty!$I$53*N43))</f>
        <v>0</v>
      </c>
      <c r="R43" s="158">
        <f>IF(Q$16="Neaktivní",0,IF(ISBLANK($R$17),0,$F43*Výpočty!$I$53*N43))</f>
        <v>0</v>
      </c>
      <c r="S43" s="333">
        <f t="shared" si="12"/>
        <v>1</v>
      </c>
      <c r="T43" s="157">
        <f t="shared" si="32"/>
        <v>0</v>
      </c>
      <c r="U43" s="158">
        <f t="shared" si="33"/>
        <v>0</v>
      </c>
      <c r="V43" s="157">
        <f>IF(V$16="Neaktivní",0,IF(ISBLANK($W$17),0,$E43*Výpočty!$J$53*S43))</f>
        <v>0</v>
      </c>
      <c r="W43" s="158">
        <f>IF(V$16="Neaktivní",0,IF(ISBLANK($W$17),0,$F43*Výpočty!$J$53*S43))</f>
        <v>0</v>
      </c>
      <c r="X43" s="190">
        <f t="shared" si="13"/>
        <v>1</v>
      </c>
      <c r="Y43" s="157">
        <f t="shared" si="34"/>
        <v>0</v>
      </c>
      <c r="Z43" s="158">
        <f t="shared" si="35"/>
        <v>0</v>
      </c>
      <c r="AA43" s="157">
        <f>IF(AA$16="Neaktivní",0,IF(ISBLANK($AB$17),0,$E43*Výpočty!$K$53*X43))</f>
        <v>0</v>
      </c>
      <c r="AB43" s="158">
        <f>IF(AA$16="Neaktivní",0,IF(ISBLANK($AB$17),0,$F43*Výpočty!$K$53*X43))</f>
        <v>0</v>
      </c>
      <c r="AC43" s="190">
        <f t="shared" si="14"/>
        <v>1</v>
      </c>
      <c r="AD43" s="157">
        <f t="shared" si="36"/>
        <v>0</v>
      </c>
      <c r="AE43" s="158">
        <f t="shared" si="37"/>
        <v>0</v>
      </c>
      <c r="AF43" s="157">
        <f>IF(AF$16="Neaktivní",0,IF(ISBLANK($AG$17),0,$E43*Výpočty!$L$53*AC43))</f>
        <v>0</v>
      </c>
      <c r="AG43" s="158">
        <f>IF(AF$16="Neaktivní",0,IF(ISBLANK($AG$17),0,$F43*Výpočty!$L$53*AC43))</f>
        <v>0</v>
      </c>
      <c r="AH43" s="190">
        <f t="shared" si="15"/>
        <v>1</v>
      </c>
      <c r="AI43" s="157">
        <f t="shared" si="38"/>
        <v>0</v>
      </c>
      <c r="AJ43" s="158">
        <f t="shared" si="39"/>
        <v>0</v>
      </c>
      <c r="AK43" s="157">
        <f>IF(AK$16="Neaktivní",0,IF(ISBLANK($AG$17),0,$E43*Výpočty!$M$53*AH43))</f>
        <v>0</v>
      </c>
      <c r="AL43" s="158">
        <f>IF(AK$16="Neaktivní",0,IF(ISBLANK($AG$17),0,$F43*Výpočty!$M$53*AH43))</f>
        <v>0</v>
      </c>
      <c r="AM43" s="190">
        <f t="shared" si="16"/>
        <v>1</v>
      </c>
      <c r="AN43" s="157">
        <f t="shared" si="40"/>
        <v>0</v>
      </c>
      <c r="AO43" s="158">
        <f t="shared" si="41"/>
        <v>0</v>
      </c>
      <c r="AP43" s="157">
        <f>IF(AP$16="Neaktivní",0,IF(ISBLANK($AQ$17),0,$E43*Výpočty!$N$53*AM43))</f>
        <v>0</v>
      </c>
      <c r="AQ43" s="158">
        <f>IF(AP$16="Neaktivní",0,IF(ISBLANK($AQ$17),0,$F43*Výpočty!$N$53*AM43))</f>
        <v>0</v>
      </c>
      <c r="AR43" s="190">
        <f t="shared" si="17"/>
        <v>1</v>
      </c>
      <c r="AS43" s="157">
        <f t="shared" si="42"/>
        <v>0</v>
      </c>
      <c r="AT43" s="158">
        <f t="shared" si="43"/>
        <v>0</v>
      </c>
      <c r="AU43" s="157">
        <f>IF(AU$16="Neaktivní",0,IF(ISBLANK($AV$17),0,$E43*Výpočty!$O$53*AR43))</f>
        <v>0</v>
      </c>
      <c r="AV43" s="158">
        <f>IF(AU$16="Neaktivní",0,IF(ISBLANK($AV$17),0,$F43*Výpočty!$O$53*AR43))</f>
        <v>0</v>
      </c>
      <c r="AW43" s="190">
        <f t="shared" si="18"/>
        <v>1</v>
      </c>
      <c r="AX43" s="157">
        <f t="shared" si="44"/>
        <v>0</v>
      </c>
      <c r="AY43" s="158">
        <f t="shared" si="45"/>
        <v>0</v>
      </c>
      <c r="AZ43" s="157">
        <f>IF(AZ$16="Neaktivní",0,IF(ISBLANK($BA$17),0,$E43*Výpočty!$P$53*AW43))</f>
        <v>0</v>
      </c>
      <c r="BA43" s="158">
        <f>IF(AZ$16="Neaktivní",0,IF(ISBLANK($BA$17),0,$F43*Výpočty!$P$53*AW43))</f>
        <v>0</v>
      </c>
      <c r="BB43" s="190">
        <f t="shared" si="19"/>
        <v>1</v>
      </c>
      <c r="BC43" s="157">
        <f t="shared" si="46"/>
        <v>0</v>
      </c>
      <c r="BD43" s="158">
        <f t="shared" si="47"/>
        <v>0</v>
      </c>
      <c r="BE43" s="157">
        <f>IF(BE$16="Neaktivní",0,IF(ISBLANK($BF$17),0,$E43*Výpočty!$Q$53*BB43))</f>
        <v>0</v>
      </c>
      <c r="BF43" s="158">
        <f>IF(BE$16="Neaktivní",0,IF(ISBLANK($BF$17),0,$F43*Výpočty!$Q$53*BB43))</f>
        <v>0</v>
      </c>
      <c r="BG43" s="190">
        <f t="shared" si="20"/>
        <v>1</v>
      </c>
      <c r="BH43" s="157">
        <f t="shared" si="48"/>
        <v>0</v>
      </c>
      <c r="BI43" s="158">
        <f t="shared" si="49"/>
        <v>0</v>
      </c>
      <c r="BJ43" s="157">
        <f>IF(BJ$16="Neaktivní",0,IF(ISBLANK($BK$17),0,$E43*Výpočty!$R$53*BG43))</f>
        <v>0</v>
      </c>
      <c r="BK43" s="158">
        <f>IF(BJ$16="Neaktivní",0,IF(ISBLANK($BK$17),0,$F43*Výpočty!$R$53*BG43))</f>
        <v>0</v>
      </c>
      <c r="BL43" s="419">
        <f>IF(AND(DAY(Postup!$H$25)=31,MONTH(Postup!$H$25)=12),0,INDEX($E43:$BP43,MATCH($BL$55,$E$55:$BP$55,0))*Výpočty!$E$23)</f>
        <v>0</v>
      </c>
      <c r="BM43" s="158">
        <f>IF(AND(DAY(Postup!$H$25)=31,MONTH(Postup!$H$25)=12),0,INDEX($E43:$BP43,MATCH($BM$55,$E$55:$BP$55,0))*Výpočty!$E$23)</f>
        <v>0</v>
      </c>
      <c r="BN43" s="184"/>
      <c r="BO43" s="184"/>
      <c r="BP43" s="184"/>
    </row>
    <row r="44" spans="1:68" x14ac:dyDescent="0.25">
      <c r="A44" s="260"/>
      <c r="B44" s="44" t="s">
        <v>53</v>
      </c>
      <c r="C44" s="45" t="s">
        <v>54</v>
      </c>
      <c r="D44" s="191" t="s">
        <v>134</v>
      </c>
      <c r="E44" s="157">
        <f>Nabídka!F39</f>
        <v>0</v>
      </c>
      <c r="F44" s="148">
        <f>Nabídka!H39</f>
        <v>0</v>
      </c>
      <c r="G44" s="157">
        <f>IF(AND(DAY(Postup!$H$24)=1,MONTH(Postup!$H$24)=1),0,E44*Výpočty!$E$17)</f>
        <v>0</v>
      </c>
      <c r="H44" s="158">
        <f>IF(AND(DAY(Postup!$H$24)=1,MONTH(Postup!$H$24)=1),0,F44*Výpočty!$E$17)</f>
        <v>0</v>
      </c>
      <c r="I44" s="157">
        <f>IF(I$16="Neaktivní",0,IF(ISBLANK($J$17),0,($E44+(Nabídka!$J39*I$56*$E$47/1000))*Výpočty!$H$53))</f>
        <v>0</v>
      </c>
      <c r="J44" s="158">
        <f>IF(I$16="Neaktivní",0,IF(ISBLANK($J$17),0,($F44+(Nabídka!$K39*J$56*($F$49+$F$51)/1000))*Výpočty!$H$53))</f>
        <v>0</v>
      </c>
      <c r="K44" s="861" t="s">
        <v>162</v>
      </c>
      <c r="L44" s="861"/>
      <c r="M44" s="862"/>
      <c r="N44" s="190">
        <f t="shared" si="11"/>
        <v>1</v>
      </c>
      <c r="O44" s="157">
        <f>($E44+(Nabídka!$J39*O$56*$E$47/1000))*N44</f>
        <v>0</v>
      </c>
      <c r="P44" s="148">
        <f>($F44+(Nabídka!$K39*P$56*($F$49+$F$51)/1000))*N44</f>
        <v>0</v>
      </c>
      <c r="Q44" s="157">
        <f>IF(Q$16="Neaktivní",0,IF(ISBLANK($R$17),0,($E44+(Nabídka!$J39*Q$56*$E$47/1000))*Výpočty!$I$53*N44))</f>
        <v>0</v>
      </c>
      <c r="R44" s="158">
        <f>IF(Q$16="Neaktivní",0,IF(ISBLANK($R$17),0,($F44+(Nabídka!$K39*R$56*($F$49+$F$51)/1000))*Výpočty!$I$53*N44))</f>
        <v>0</v>
      </c>
      <c r="S44" s="333">
        <f t="shared" si="12"/>
        <v>1</v>
      </c>
      <c r="T44" s="157">
        <f>($E44+(Nabídka!$J39*T$56*$E$47/1000))*S44</f>
        <v>0</v>
      </c>
      <c r="U44" s="158">
        <f>($F44+(Nabídka!$K39*U$56*($F$49+$F$51)/1000))*S44</f>
        <v>0</v>
      </c>
      <c r="V44" s="157">
        <f>IF(V$16="Neaktivní",0,IF(ISBLANK($W$17),0,($E44+(Nabídka!$J39*V$56*$E$47/1000))*Výpočty!$J$53*S44))</f>
        <v>0</v>
      </c>
      <c r="W44" s="158">
        <f>IF(V$16="Neaktivní",0,IF(ISBLANK($W$17),0,($F44+(Nabídka!$K39*W$56*($F$49+$F$51)/1000))*Výpočty!$J$53*S44))</f>
        <v>0</v>
      </c>
      <c r="X44" s="190">
        <f t="shared" si="13"/>
        <v>1</v>
      </c>
      <c r="Y44" s="157">
        <f>($E44+(Nabídka!$J39*Y$56*$E$47/1000))*X44</f>
        <v>0</v>
      </c>
      <c r="Z44" s="158">
        <f>($F44+(Nabídka!$K39*Z$56*($F$49+$F$51)/1000))*X44</f>
        <v>0</v>
      </c>
      <c r="AA44" s="157">
        <f>IF(AA$16="Neaktivní",0,IF(ISBLANK($AB$17),0,($E44+(Nabídka!$J39*AA$56*$E$47/1000))*Výpočty!$K$53*X44))</f>
        <v>0</v>
      </c>
      <c r="AB44" s="158">
        <f>IF(AA$16="Neaktivní",0,IF(ISBLANK($AB$17),0,($F44+(Nabídka!$K39*AB$56*($F$49+$F$51)/1000))*Výpočty!$K$53*X44))</f>
        <v>0</v>
      </c>
      <c r="AC44" s="190">
        <f t="shared" si="14"/>
        <v>1</v>
      </c>
      <c r="AD44" s="157">
        <f>($E44+(Nabídka!$J39*AD$56*$E$47/1000))*AC44</f>
        <v>0</v>
      </c>
      <c r="AE44" s="158">
        <f>($F44+(Nabídka!$K39*AE$56*($F$49+$F$51)/1000))*AC44</f>
        <v>0</v>
      </c>
      <c r="AF44" s="157">
        <f>IF(AF$16="Neaktivní",0,IF(ISBLANK($AG$17),0,($E44+(Nabídka!$J39*AF$56*$E$47/1000))*Výpočty!$L$53*AC44))</f>
        <v>0</v>
      </c>
      <c r="AG44" s="158">
        <f>IF(AF$16="Neaktivní",0,IF(ISBLANK($AG$17),0,($F44+(Nabídka!$K39*AG$56*($F$49+$F$51)/1000))*Výpočty!$L$53*AC44))</f>
        <v>0</v>
      </c>
      <c r="AH44" s="190">
        <f t="shared" si="15"/>
        <v>1</v>
      </c>
      <c r="AI44" s="157">
        <f>($E44+(Nabídka!$J39*AI$56*$E$47/1000))*AH44</f>
        <v>0</v>
      </c>
      <c r="AJ44" s="158">
        <f>($F44+(Nabídka!$K39*AJ$56*($F$49+$F$51)/1000))*AH44</f>
        <v>0</v>
      </c>
      <c r="AK44" s="157">
        <f>IF(AK$16="Neaktivní",0,IF(ISBLANK($AG$17),0,($E44+(Nabídka!$J39*AK$56*$E$47/1000))*Výpočty!$M$53*AH44))</f>
        <v>0</v>
      </c>
      <c r="AL44" s="158">
        <f>IF(AK$16="Neaktivní",0,IF(ISBLANK($AG$17),0,($F44+(Nabídka!$K39*AL$56*($F$49+$F$51)/1000))*Výpočty!$M$53*AH44))</f>
        <v>0</v>
      </c>
      <c r="AM44" s="190">
        <f t="shared" si="16"/>
        <v>1</v>
      </c>
      <c r="AN44" s="157">
        <f>($E44+(Nabídka!$J39*AN$56*$E$47/1000))*AM44</f>
        <v>0</v>
      </c>
      <c r="AO44" s="158">
        <f>($F44+(Nabídka!$K39*AO$56*($F$49+$F$51)/1000))*AM44</f>
        <v>0</v>
      </c>
      <c r="AP44" s="157">
        <f>IF(AP$16="Neaktivní",0,IF(ISBLANK($AQ$17),0,($E44+(Nabídka!$J39*AP$56*$E$47/1000))*Výpočty!$N$53*AM44))</f>
        <v>0</v>
      </c>
      <c r="AQ44" s="158">
        <f>IF(AP$16="Neaktivní",0,IF(ISBLANK($AQ$17),0,($F44+(Nabídka!$K39*AQ$56*($F$49+$F$51)/1000))*Výpočty!$N$53*AM44))</f>
        <v>0</v>
      </c>
      <c r="AR44" s="190">
        <f t="shared" si="17"/>
        <v>1</v>
      </c>
      <c r="AS44" s="157">
        <f>($E44+(Nabídka!$J39*AS$56*$E$47/1000))*AR44</f>
        <v>0</v>
      </c>
      <c r="AT44" s="148">
        <f>($F44+(Nabídka!$K39*AT$56*($F$49+$F$51)/1000))*AR44</f>
        <v>0</v>
      </c>
      <c r="AU44" s="157">
        <f>IF(AU$16="Neaktivní",0,IF(ISBLANK($AV$17),0,($E44+(Nabídka!$J39*AU$56*$E$47/1000))*Výpočty!$O$53*AR44))</f>
        <v>0</v>
      </c>
      <c r="AV44" s="158">
        <f>IF(AU$16="Neaktivní",0,IF(ISBLANK($AV$17),0,($F44+(Nabídka!$K39*AV$56*($F$49+$F$51)/1000))*Výpočty!$O$53*AR44))</f>
        <v>0</v>
      </c>
      <c r="AW44" s="190">
        <f t="shared" si="18"/>
        <v>1</v>
      </c>
      <c r="AX44" s="157">
        <f>($E44+(Nabídka!$J39*AX$56*$E$47/1000))*AW44</f>
        <v>0</v>
      </c>
      <c r="AY44" s="148">
        <f>($F44+(Nabídka!$K39*AY$56*($F$49+$F$51)/1000))*AW44</f>
        <v>0</v>
      </c>
      <c r="AZ44" s="157">
        <f>IF(AZ$16="Neaktivní",0,IF(ISBLANK($BA$17),0,($E44+(Nabídka!$J39*AZ$56*$E$47/1000))*Výpočty!$P$53*AW44))</f>
        <v>0</v>
      </c>
      <c r="BA44" s="158">
        <f>IF(AZ$16="Neaktivní",0,IF(ISBLANK($BA$17),0,($F44+(Nabídka!$K39*BA$56*($F$49+$F$51)/1000))*Výpočty!$P$53*AW44))</f>
        <v>0</v>
      </c>
      <c r="BB44" s="190">
        <f t="shared" si="19"/>
        <v>1</v>
      </c>
      <c r="BC44" s="157">
        <f>($E44+(Nabídka!$J39*BC$56*$E$47/1000))*BB44</f>
        <v>0</v>
      </c>
      <c r="BD44" s="148">
        <f>($F44+(Nabídka!$K39*BD$56*($F$49+$F$51)/1000))*BB44</f>
        <v>0</v>
      </c>
      <c r="BE44" s="157">
        <f>IF(BE$16="Neaktivní",0,IF(ISBLANK($BF$17),0,($E44+(Nabídka!$J39*BE$56*$E$47/1000))*Výpočty!$Q$53*BB44))</f>
        <v>0</v>
      </c>
      <c r="BF44" s="158">
        <f>IF(BE$16="Neaktivní",0,IF(ISBLANK($BF$17),0,($F44+(Nabídka!$K39*BF$56*($F$49+$F$51)/1000))*Výpočty!$Q$53*BB44))</f>
        <v>0</v>
      </c>
      <c r="BG44" s="190">
        <f t="shared" si="20"/>
        <v>1</v>
      </c>
      <c r="BH44" s="157">
        <f>($E44+(Nabídka!$J39*BH$56*$E$47/1000))*BG44</f>
        <v>0</v>
      </c>
      <c r="BI44" s="148">
        <f>($F44+(Nabídka!$K39*BI$56*($F$49+$F$51)/1000))*BG44</f>
        <v>0</v>
      </c>
      <c r="BJ44" s="157">
        <f>IF(BJ$16="Neaktivní",0,IF(ISBLANK($BK$17),0,($E44+(Nabídka!$J39*BJ$56*$E$47/1000))*Výpočty!$H$53*BG44))</f>
        <v>0</v>
      </c>
      <c r="BK44" s="158">
        <f>IF(BJ$16="Neaktivní",0,IF(ISBLANK($BK$17),0,($F44+(Nabídka!$K39*BK$56*($F$49+$F$51)/1000))*Výpočty!$H$53*BG44))</f>
        <v>0</v>
      </c>
      <c r="BL44" s="419">
        <f>IF(AND(DAY(Postup!$H$25)=31,MONTH(Postup!$H$25)=12),0,INDEX($E44:$BP44,MATCH($BL$55,$E$55:$BP$55,0))*Výpočty!$E$23)</f>
        <v>0</v>
      </c>
      <c r="BM44" s="158">
        <f>IF(AND(DAY(Postup!$H$25)=31,MONTH(Postup!$H$25)=12),0,INDEX($E44:$BP44,MATCH($BM$55,$E$55:$BP$55,0))*Výpočty!$E$23)</f>
        <v>0</v>
      </c>
      <c r="BN44" s="184"/>
      <c r="BO44" s="184"/>
      <c r="BP44" s="184"/>
    </row>
    <row r="45" spans="1:68" x14ac:dyDescent="0.25">
      <c r="A45" s="260"/>
      <c r="B45" s="44" t="s">
        <v>55</v>
      </c>
      <c r="C45" s="45" t="s">
        <v>56</v>
      </c>
      <c r="D45" s="191" t="s">
        <v>134</v>
      </c>
      <c r="E45" s="157">
        <f>Nabídka!F40</f>
        <v>0</v>
      </c>
      <c r="F45" s="148">
        <f>Nabídka!H40</f>
        <v>0</v>
      </c>
      <c r="G45" s="157">
        <f>IF(AND(DAY(Postup!$H$24)=1,MONTH(Postup!$H$24)=1),0,E45*Výpočty!$E$17)</f>
        <v>0</v>
      </c>
      <c r="H45" s="158">
        <f>IF(AND(DAY(Postup!$H$24)=1,MONTH(Postup!$H$24)=1),0,F45*Výpočty!$E$17)</f>
        <v>0</v>
      </c>
      <c r="I45" s="157">
        <f>IF(I$16="Neaktivní",0,IF(ISBLANK($J$17),0,($E45+(Nabídka!$J40*I$56*$E$47/1000))*Výpočty!$H$53))</f>
        <v>0</v>
      </c>
      <c r="J45" s="158">
        <f>IF(I$16="Neaktivní",0,IF(ISBLANK($J$17),0,($F45+(Nabídka!$K40*J$56*($F$49+$F$51)/1000))*Výpočty!$H$53))</f>
        <v>0</v>
      </c>
      <c r="K45" s="861" t="s">
        <v>162</v>
      </c>
      <c r="L45" s="861"/>
      <c r="M45" s="862"/>
      <c r="N45" s="190">
        <f t="shared" si="11"/>
        <v>1</v>
      </c>
      <c r="O45" s="157">
        <f>($E45+(Nabídka!$J40*O$56*$E$47/1000))*N45</f>
        <v>0</v>
      </c>
      <c r="P45" s="148">
        <f>($F45+(Nabídka!$K40*P$56*($F$49+$F$51)/1000))*N45</f>
        <v>0</v>
      </c>
      <c r="Q45" s="157">
        <f>IF(Q$16="Neaktivní",0,IF(ISBLANK($R$17),0,($E45+(Nabídka!$J40*Q$56*$E$47/1000))*Výpočty!$I$53*N45))</f>
        <v>0</v>
      </c>
      <c r="R45" s="158">
        <f>IF(Q$16="Neaktivní",0,IF(ISBLANK($R$17),0,($F45+(Nabídka!$K40*R$56*($F$49+$F$51)/1000))*Výpočty!$I$53*N45))</f>
        <v>0</v>
      </c>
      <c r="S45" s="333">
        <f t="shared" si="12"/>
        <v>1</v>
      </c>
      <c r="T45" s="157">
        <f>($E45+(Nabídka!$J40*T$56*$E$47/1000))*S45</f>
        <v>0</v>
      </c>
      <c r="U45" s="158">
        <f>($F45+(Nabídka!$K40*U$56*($F$49+$F$51)/1000))*S45</f>
        <v>0</v>
      </c>
      <c r="V45" s="157">
        <f>IF(V$16="Neaktivní",0,IF(ISBLANK($W$17),0,($E45+(Nabídka!$J40*V$56*$E$47/1000))*Výpočty!$J$53*S45))</f>
        <v>0</v>
      </c>
      <c r="W45" s="158">
        <f>IF(V$16="Neaktivní",0,IF(ISBLANK($W$17),0,($F45+(Nabídka!$K40*W$56*($F$49+$F$51)/1000))*Výpočty!$J$53*S45))</f>
        <v>0</v>
      </c>
      <c r="X45" s="190">
        <f t="shared" si="13"/>
        <v>1</v>
      </c>
      <c r="Y45" s="157">
        <f>($E45+(Nabídka!$J40*Y$56*$E$47/1000))*X45</f>
        <v>0</v>
      </c>
      <c r="Z45" s="158">
        <f>($F45+(Nabídka!$K40*Z$56*($F$49+$F$51)/1000))*X45</f>
        <v>0</v>
      </c>
      <c r="AA45" s="157">
        <f>IF(AA$16="Neaktivní",0,IF(ISBLANK($AB$17),0,($E45+(Nabídka!$J40*AA$56*$E$47/1000))*Výpočty!$K$53*X45))</f>
        <v>0</v>
      </c>
      <c r="AB45" s="158">
        <f>IF(AA$16="Neaktivní",0,IF(ISBLANK($AB$17),0,($F45+(Nabídka!$K40*AB$56*($F$49+$F$51)/1000))*Výpočty!$K$53*X45))</f>
        <v>0</v>
      </c>
      <c r="AC45" s="190">
        <f t="shared" si="14"/>
        <v>1</v>
      </c>
      <c r="AD45" s="157">
        <f>($E45+(Nabídka!$J40*AD$56*$E$47/1000))*AC45</f>
        <v>0</v>
      </c>
      <c r="AE45" s="158">
        <f>($F45+(Nabídka!$K40*AE$56*($F$49+$F$51)/1000))*AC45</f>
        <v>0</v>
      </c>
      <c r="AF45" s="157">
        <f>IF(AF$16="Neaktivní",0,IF(ISBLANK($AG$17),0,($E45+(Nabídka!$J40*AF$56*$E$47/1000))*Výpočty!$L$53*AC45))</f>
        <v>0</v>
      </c>
      <c r="AG45" s="158">
        <f>IF(AF$16="Neaktivní",0,IF(ISBLANK($AG$17),0,($F45+(Nabídka!$K40*AG$56*($F$49+$F$51)/1000))*Výpočty!$L$53*AC45))</f>
        <v>0</v>
      </c>
      <c r="AH45" s="190">
        <f t="shared" si="15"/>
        <v>1</v>
      </c>
      <c r="AI45" s="157">
        <f>($E45+(Nabídka!$J40*AI$56*$E$47/1000))*AH45</f>
        <v>0</v>
      </c>
      <c r="AJ45" s="158">
        <f>($F45+(Nabídka!$K40*AJ$56*($F$49+$F$51)/1000))*AH45</f>
        <v>0</v>
      </c>
      <c r="AK45" s="157">
        <f>IF(AK$16="Neaktivní",0,IF(ISBLANK($AG$17),0,($E45+(Nabídka!$J40*AK$56*$E$47/1000))*Výpočty!$M$53*AH45))</f>
        <v>0</v>
      </c>
      <c r="AL45" s="158">
        <f>IF(AK$16="Neaktivní",0,IF(ISBLANK($AG$17),0,($F45+(Nabídka!$K40*AL$56*($F$49+$F$51)/1000))*Výpočty!$M$53*AH45))</f>
        <v>0</v>
      </c>
      <c r="AM45" s="190">
        <f t="shared" si="16"/>
        <v>1</v>
      </c>
      <c r="AN45" s="157">
        <f>($E45+(Nabídka!$J40*AN$56*$E$47/1000))*AM45</f>
        <v>0</v>
      </c>
      <c r="AO45" s="158">
        <f>($F45+(Nabídka!$K40*AO$56*($F$49+$F$51)/1000))*AM45</f>
        <v>0</v>
      </c>
      <c r="AP45" s="157">
        <f>IF(AP$16="Neaktivní",0,IF(ISBLANK($AQ$17),0,($E45+(Nabídka!$J40*AP$56*$E$47/1000))*Výpočty!$N$53*AM45))</f>
        <v>0</v>
      </c>
      <c r="AQ45" s="158">
        <f>IF(AP$16="Neaktivní",0,IF(ISBLANK($AQ$17),0,($F45+(Nabídka!$K40*AQ$56*($F$49+$F$51)/1000))*Výpočty!$N$53*AM45))</f>
        <v>0</v>
      </c>
      <c r="AR45" s="190">
        <f t="shared" si="17"/>
        <v>1</v>
      </c>
      <c r="AS45" s="157">
        <f>($E45+(Nabídka!$J40*AS$56*$E$47/1000))*AR45</f>
        <v>0</v>
      </c>
      <c r="AT45" s="148">
        <f>($F45+(Nabídka!$K40*AT$56*($F$49+$F$51)/1000))*AR45</f>
        <v>0</v>
      </c>
      <c r="AU45" s="157">
        <f>IF(AU$16="Neaktivní",0,IF(ISBLANK($AV$17),0,($E45+(Nabídka!$J40*AU$56*$E$47/1000))*Výpočty!$O$53*AR45))</f>
        <v>0</v>
      </c>
      <c r="AV45" s="158">
        <f>IF(AU$16="Neaktivní",0,IF(ISBLANK($AV$17),0,($F45+(Nabídka!$K40*AV$56*($F$49+$F$51)/1000))*Výpočty!$O$53*AR45))</f>
        <v>0</v>
      </c>
      <c r="AW45" s="190">
        <f t="shared" si="18"/>
        <v>1</v>
      </c>
      <c r="AX45" s="157">
        <f>($E45+(Nabídka!$J40*AX$56*$E$47/1000))*AW45</f>
        <v>0</v>
      </c>
      <c r="AY45" s="148">
        <f>($F45+(Nabídka!$K40*AY$56*($F$49+$F$51)/1000))*AW45</f>
        <v>0</v>
      </c>
      <c r="AZ45" s="157">
        <f>IF(AZ$16="Neaktivní",0,IF(ISBLANK($BA$17),0,($E45+(Nabídka!$J40*AZ$56*$E$47/1000))*Výpočty!$P$53*AW45))</f>
        <v>0</v>
      </c>
      <c r="BA45" s="158">
        <f>IF(AZ$16="Neaktivní",0,IF(ISBLANK($BA$17),0,($F45+(Nabídka!$K40*BA$56*($F$49+$F$51)/1000))*Výpočty!$P$53*AW45))</f>
        <v>0</v>
      </c>
      <c r="BB45" s="190">
        <f t="shared" si="19"/>
        <v>1</v>
      </c>
      <c r="BC45" s="157">
        <f>($E45+(Nabídka!$J40*BC$56*$E$47/1000))*BB45</f>
        <v>0</v>
      </c>
      <c r="BD45" s="148">
        <f>($F45+(Nabídka!$K40*BD$56*($F$49+$F$51)/1000))*BB45</f>
        <v>0</v>
      </c>
      <c r="BE45" s="157">
        <f>IF(BE$16="Neaktivní",0,IF(ISBLANK($BF$17),0,($E45+(Nabídka!$J40*BE$56*$E$47/1000))*Výpočty!$Q$53*BB45))</f>
        <v>0</v>
      </c>
      <c r="BF45" s="158">
        <f>IF(BE$16="Neaktivní",0,IF(ISBLANK($BF$17),0,($F45+(Nabídka!$K40*BF$56*($F$49+$F$51)/1000))*Výpočty!$Q$53*BB45))</f>
        <v>0</v>
      </c>
      <c r="BG45" s="190">
        <f t="shared" si="20"/>
        <v>1</v>
      </c>
      <c r="BH45" s="157">
        <f>($E45+(Nabídka!$J40*BH$56*$E$47/1000))*BG45</f>
        <v>0</v>
      </c>
      <c r="BI45" s="148">
        <f>($F45+(Nabídka!$K40*BI$56*($F$49+$F$51)/1000))*BG45</f>
        <v>0</v>
      </c>
      <c r="BJ45" s="157">
        <f>IF(BJ$16="Neaktivní",0,IF(ISBLANK($BK$17),0,($E45+(Nabídka!$J40*BJ$56*$E$47/1000))*Výpočty!$H$53*BG45))</f>
        <v>0</v>
      </c>
      <c r="BK45" s="158">
        <f>IF(BJ$16="Neaktivní",0,IF(ISBLANK($BK$17),0,($F45+(Nabídka!$K40*BK$56*($F$49+$F$51)/1000))*Výpočty!$H$53*BG45))</f>
        <v>0</v>
      </c>
      <c r="BL45" s="419">
        <f>IF(AND(DAY(Postup!$H$25)=31,MONTH(Postup!$H$25)=12),0,INDEX($E45:$BP45,MATCH($BL$55,$E$55:$BP$55,0))*Výpočty!$E$23)</f>
        <v>0</v>
      </c>
      <c r="BM45" s="158">
        <f>IF(AND(DAY(Postup!$H$25)=31,MONTH(Postup!$H$25)=12),0,INDEX($E45:$BP45,MATCH($BM$55,$E$55:$BP$55,0))*Výpočty!$E$23)</f>
        <v>0</v>
      </c>
      <c r="BN45" s="184"/>
      <c r="BO45" s="184"/>
      <c r="BP45" s="184"/>
    </row>
    <row r="46" spans="1:68" x14ac:dyDescent="0.25">
      <c r="A46" s="260"/>
      <c r="B46" s="44" t="s">
        <v>57</v>
      </c>
      <c r="C46" s="45" t="s">
        <v>58</v>
      </c>
      <c r="D46" s="191" t="s">
        <v>134</v>
      </c>
      <c r="E46" s="155">
        <f t="shared" ref="E46:J46" si="50">E22+E27+E30+E33+E38+SUM(E42:E45)</f>
        <v>0</v>
      </c>
      <c r="F46" s="159">
        <f t="shared" si="50"/>
        <v>0.43</v>
      </c>
      <c r="G46" s="155">
        <f t="shared" si="50"/>
        <v>0</v>
      </c>
      <c r="H46" s="156">
        <f t="shared" si="50"/>
        <v>0</v>
      </c>
      <c r="I46" s="155">
        <f t="shared" si="50"/>
        <v>0</v>
      </c>
      <c r="J46" s="156">
        <f t="shared" si="50"/>
        <v>0</v>
      </c>
      <c r="K46" s="863"/>
      <c r="L46" s="863"/>
      <c r="M46" s="864"/>
      <c r="N46" s="190" t="str">
        <f t="shared" si="11"/>
        <v xml:space="preserve">-  </v>
      </c>
      <c r="O46" s="155">
        <f>O22+O27+O30+O33+O38+SUM(O42:O45)</f>
        <v>0</v>
      </c>
      <c r="P46" s="159">
        <f>P22+P27+P30+P33+P38+SUM(P42:P45)</f>
        <v>0.43</v>
      </c>
      <c r="Q46" s="155">
        <f>Q22+Q27+Q30+Q33+Q38+SUM(Q42:Q45)</f>
        <v>0</v>
      </c>
      <c r="R46" s="156">
        <f>R22+R27+R30+R33+R38+SUM(R42:R45)</f>
        <v>0</v>
      </c>
      <c r="S46" s="333" t="str">
        <f t="shared" si="12"/>
        <v xml:space="preserve">-  </v>
      </c>
      <c r="T46" s="155">
        <f>T22+T27+T30+T33+T38+SUM(T42:T45)</f>
        <v>0</v>
      </c>
      <c r="U46" s="156">
        <f>U22+U27+U30+U33+U38+SUM(U42:U45)</f>
        <v>0.43</v>
      </c>
      <c r="V46" s="155">
        <f>V22+V27+V30+V33+V38+SUM(V42:V45)</f>
        <v>0</v>
      </c>
      <c r="W46" s="156">
        <f>W22+W27+W30+W33+W38+SUM(W42:W45)</f>
        <v>0</v>
      </c>
      <c r="X46" s="190" t="str">
        <f t="shared" si="13"/>
        <v xml:space="preserve">-  </v>
      </c>
      <c r="Y46" s="155">
        <f>Y22+Y27+Y30+Y33+Y38+SUM(Y42:Y45)</f>
        <v>0</v>
      </c>
      <c r="Z46" s="156">
        <f>Z22+Z27+Z30+Z33+Z38+SUM(Z42:Z45)</f>
        <v>0.43999999999999995</v>
      </c>
      <c r="AA46" s="155">
        <f>AA22+AA27+AA30+AA33+AA38+SUM(AA42:AA45)</f>
        <v>0</v>
      </c>
      <c r="AB46" s="156">
        <f>AB22+AB27+AB30+AB33+AB38+SUM(AB42:AB45)</f>
        <v>0</v>
      </c>
      <c r="AC46" s="190" t="str">
        <f t="shared" si="14"/>
        <v xml:space="preserve">-  </v>
      </c>
      <c r="AD46" s="155">
        <f>AD22+AD27+AD30+AD33+AD38+SUM(AD42:AD45)</f>
        <v>0</v>
      </c>
      <c r="AE46" s="156">
        <f>AE22+AE27+AE30+AE33+AE38+SUM(AE42:AE45)</f>
        <v>0.43999999999999995</v>
      </c>
      <c r="AF46" s="155">
        <f>AF22+AF27+AF30+AF33+AF38+SUM(AF42:AF45)</f>
        <v>0</v>
      </c>
      <c r="AG46" s="156">
        <f>AG22+AG27+AG30+AG33+AG38+SUM(AG42:AG45)</f>
        <v>0</v>
      </c>
      <c r="AH46" s="190" t="str">
        <f t="shared" si="15"/>
        <v xml:space="preserve">-  </v>
      </c>
      <c r="AI46" s="155">
        <f>AI22+AI27+AI30+AI33+AI38+SUM(AI42:AI45)</f>
        <v>0</v>
      </c>
      <c r="AJ46" s="156">
        <f>AJ22+AJ27+AJ30+AJ33+AJ38+SUM(AJ42:AJ45)</f>
        <v>0.28999999999999998</v>
      </c>
      <c r="AK46" s="155">
        <f>AK22+AK27+AK30+AK33+AK38+SUM(AK42:AK45)</f>
        <v>0</v>
      </c>
      <c r="AL46" s="156">
        <f>AL22+AL27+AL30+AL33+AL38+SUM(AL42:AL45)</f>
        <v>0</v>
      </c>
      <c r="AM46" s="190" t="str">
        <f t="shared" si="16"/>
        <v xml:space="preserve">-  </v>
      </c>
      <c r="AN46" s="155">
        <f>AN22+AN27+AN30+AN33+AN38+SUM(AN42:AN45)</f>
        <v>0</v>
      </c>
      <c r="AO46" s="156">
        <f>AO22+AO27+AO30+AO33+AO38+SUM(AO42:AO45)</f>
        <v>0.28999999999999998</v>
      </c>
      <c r="AP46" s="155">
        <f>AP22+AP27+AP30+AP33+AP38+SUM(AP42:AP45)</f>
        <v>0</v>
      </c>
      <c r="AQ46" s="156">
        <f>AQ22+AQ27+AQ30+AQ33+AQ38+SUM(AQ42:AQ45)</f>
        <v>0</v>
      </c>
      <c r="AR46" s="190" t="str">
        <f t="shared" si="17"/>
        <v xml:space="preserve">-  </v>
      </c>
      <c r="AS46" s="155">
        <f>AS22+AS27+AS30+AS33+AS38+SUM(AS42:AS45)</f>
        <v>0</v>
      </c>
      <c r="AT46" s="159">
        <f>AT22+AT27+AT30+AT33+AT38+SUM(AT42:AT45)</f>
        <v>0.28999999999999998</v>
      </c>
      <c r="AU46" s="155">
        <f>AU22+AU27+AU30+AU33+AU38+SUM(AU42:AU45)</f>
        <v>0</v>
      </c>
      <c r="AV46" s="156">
        <f>AV22+AV27+AV30+AV33+AV38+SUM(AV42:AV45)</f>
        <v>0</v>
      </c>
      <c r="AW46" s="190" t="str">
        <f t="shared" si="18"/>
        <v xml:space="preserve">-  </v>
      </c>
      <c r="AX46" s="155">
        <f>AX22+AX27+AX30+AX33+AX38+SUM(AX42:AX45)</f>
        <v>0</v>
      </c>
      <c r="AY46" s="159">
        <f>AY22+AY27+AY30+AY33+AY38+SUM(AY42:AY45)</f>
        <v>0.28999999999999998</v>
      </c>
      <c r="AZ46" s="155">
        <f>AZ22+AZ27+AZ30+AZ33+AZ38+SUM(AZ42:AZ45)</f>
        <v>0</v>
      </c>
      <c r="BA46" s="156">
        <f>BA22+BA27+BA30+BA33+BA38+SUM(BA42:BA45)</f>
        <v>0</v>
      </c>
      <c r="BB46" s="190" t="str">
        <f t="shared" si="19"/>
        <v xml:space="preserve">-  </v>
      </c>
      <c r="BC46" s="155">
        <f>BC22+BC27+BC30+BC33+BC38+SUM(BC42:BC45)</f>
        <v>0</v>
      </c>
      <c r="BD46" s="159">
        <f>BD22+BD27+BD30+BD33+BD38+SUM(BD42:BD45)</f>
        <v>0.28999999999999998</v>
      </c>
      <c r="BE46" s="155">
        <f>BE22+BE27+BE30+BE33+BE38+SUM(BE42:BE45)</f>
        <v>0</v>
      </c>
      <c r="BF46" s="156">
        <f>BF22+BF27+BF30+BF33+BF38+SUM(BF42:BF45)</f>
        <v>0</v>
      </c>
      <c r="BG46" s="190" t="str">
        <f t="shared" si="20"/>
        <v xml:space="preserve">-  </v>
      </c>
      <c r="BH46" s="155">
        <f t="shared" ref="BH46:BM46" si="51">BH22+BH27+BH30+BH33+BH38+SUM(BH42:BH45)</f>
        <v>0</v>
      </c>
      <c r="BI46" s="159">
        <f t="shared" si="51"/>
        <v>0.28999999999999998</v>
      </c>
      <c r="BJ46" s="155">
        <f t="shared" si="51"/>
        <v>0</v>
      </c>
      <c r="BK46" s="156">
        <f t="shared" si="51"/>
        <v>0</v>
      </c>
      <c r="BL46" s="420">
        <f t="shared" si="51"/>
        <v>0</v>
      </c>
      <c r="BM46" s="156">
        <f t="shared" si="51"/>
        <v>0</v>
      </c>
      <c r="BN46" s="421"/>
      <c r="BO46" s="421"/>
      <c r="BP46" s="421"/>
    </row>
    <row r="47" spans="1:68" ht="15" customHeight="1" x14ac:dyDescent="0.25">
      <c r="A47" s="260"/>
      <c r="B47" s="47" t="s">
        <v>64</v>
      </c>
      <c r="C47" s="42" t="s">
        <v>65</v>
      </c>
      <c r="D47" s="48" t="s">
        <v>258</v>
      </c>
      <c r="E47" s="157">
        <f>Nabídka!F42</f>
        <v>0</v>
      </c>
      <c r="F47" s="149">
        <f>Nabídka!H42</f>
        <v>0</v>
      </c>
      <c r="G47" s="157">
        <f>IF(AND(DAY(Postup!$H$24)=1,MONTH(Postup!$H$24)=1),0,E47*Výpočty!$E$17)</f>
        <v>0</v>
      </c>
      <c r="H47" s="158">
        <f>IF(AND(DAY(Postup!$H$24)=1,MONTH(Postup!$H$24)=1),0,F47*Výpočty!$E$17)</f>
        <v>0</v>
      </c>
      <c r="I47" s="632">
        <v>0</v>
      </c>
      <c r="J47" s="186">
        <v>0</v>
      </c>
      <c r="K47" s="863"/>
      <c r="L47" s="863"/>
      <c r="M47" s="864"/>
      <c r="N47" s="190" t="str">
        <f t="shared" si="11"/>
        <v xml:space="preserve">-  </v>
      </c>
      <c r="O47" s="631">
        <f>Nabídka!F42</f>
        <v>0</v>
      </c>
      <c r="P47" s="149">
        <v>0</v>
      </c>
      <c r="Q47" s="632">
        <v>0</v>
      </c>
      <c r="R47" s="186">
        <v>0</v>
      </c>
      <c r="S47" s="333" t="str">
        <f t="shared" si="12"/>
        <v xml:space="preserve">-  </v>
      </c>
      <c r="T47" s="631">
        <f>Nabídka!F42</f>
        <v>0</v>
      </c>
      <c r="U47" s="186">
        <v>0</v>
      </c>
      <c r="V47" s="632">
        <v>0</v>
      </c>
      <c r="W47" s="186">
        <v>0</v>
      </c>
      <c r="X47" s="190" t="str">
        <f t="shared" si="13"/>
        <v xml:space="preserve">-  </v>
      </c>
      <c r="Y47" s="631">
        <f>Nabídka!F42</f>
        <v>0</v>
      </c>
      <c r="Z47" s="186">
        <v>0</v>
      </c>
      <c r="AA47" s="632">
        <v>0</v>
      </c>
      <c r="AB47" s="186">
        <v>0</v>
      </c>
      <c r="AC47" s="190" t="str">
        <f t="shared" si="14"/>
        <v xml:space="preserve">-  </v>
      </c>
      <c r="AD47" s="631">
        <f>Nabídka!F42</f>
        <v>0</v>
      </c>
      <c r="AE47" s="186">
        <v>0</v>
      </c>
      <c r="AF47" s="632">
        <v>0</v>
      </c>
      <c r="AG47" s="186">
        <v>0</v>
      </c>
      <c r="AH47" s="190" t="str">
        <f t="shared" si="15"/>
        <v xml:space="preserve">-  </v>
      </c>
      <c r="AI47" s="632">
        <f>Nabídka!F42</f>
        <v>0</v>
      </c>
      <c r="AJ47" s="186">
        <v>0</v>
      </c>
      <c r="AK47" s="632">
        <v>0</v>
      </c>
      <c r="AL47" s="186">
        <v>0</v>
      </c>
      <c r="AM47" s="190" t="str">
        <f t="shared" si="16"/>
        <v xml:space="preserve">-  </v>
      </c>
      <c r="AN47" s="632">
        <f>Nabídka!F42</f>
        <v>0</v>
      </c>
      <c r="AO47" s="186">
        <v>0</v>
      </c>
      <c r="AP47" s="632">
        <v>0</v>
      </c>
      <c r="AQ47" s="186">
        <v>0</v>
      </c>
      <c r="AR47" s="190" t="str">
        <f t="shared" si="17"/>
        <v xml:space="preserve">-  </v>
      </c>
      <c r="AS47" s="632">
        <f>Nabídka!F42</f>
        <v>0</v>
      </c>
      <c r="AT47" s="149">
        <v>0</v>
      </c>
      <c r="AU47" s="632">
        <v>0</v>
      </c>
      <c r="AV47" s="186">
        <v>0</v>
      </c>
      <c r="AW47" s="190" t="str">
        <f t="shared" si="18"/>
        <v xml:space="preserve">-  </v>
      </c>
      <c r="AX47" s="632">
        <f>Nabídka!F42</f>
        <v>0</v>
      </c>
      <c r="AY47" s="149">
        <v>0</v>
      </c>
      <c r="AZ47" s="632">
        <v>0</v>
      </c>
      <c r="BA47" s="186">
        <v>0</v>
      </c>
      <c r="BB47" s="190" t="str">
        <f t="shared" si="19"/>
        <v xml:space="preserve">-  </v>
      </c>
      <c r="BC47" s="632">
        <f>Nabídka!F42</f>
        <v>0</v>
      </c>
      <c r="BD47" s="149">
        <v>0</v>
      </c>
      <c r="BE47" s="632">
        <v>0</v>
      </c>
      <c r="BF47" s="186">
        <v>0</v>
      </c>
      <c r="BG47" s="190" t="str">
        <f t="shared" si="20"/>
        <v xml:space="preserve">-  </v>
      </c>
      <c r="BH47" s="632">
        <f>Nabídka!F42</f>
        <v>0</v>
      </c>
      <c r="BI47" s="149">
        <v>0</v>
      </c>
      <c r="BJ47" s="632">
        <v>0</v>
      </c>
      <c r="BK47" s="186">
        <v>0</v>
      </c>
      <c r="BL47" s="636">
        <f>IF(AND(DAY(Postup!$H$25)=31,MONTH(Postup!$H$25)=12),0,INDEX($E47:$BP47,MATCH($BL$55,$E$55:$BP$55,0))*Výpočty!$E$23)</f>
        <v>0</v>
      </c>
      <c r="BM47" s="158">
        <f>IF(AND(DAY(Postup!$H$25)=31,MONTH(Postup!$H$25)=12),0,INDEX($E47:$BP47,MATCH($BM$55,$E$55:$BP$55,0))*Výpočty!$E$23)</f>
        <v>0</v>
      </c>
      <c r="BN47" s="184"/>
      <c r="BO47" s="184"/>
      <c r="BP47" s="184"/>
    </row>
    <row r="48" spans="1:68" x14ac:dyDescent="0.25">
      <c r="A48" s="260"/>
      <c r="B48" s="47" t="s">
        <v>67</v>
      </c>
      <c r="C48" s="42" t="s">
        <v>68</v>
      </c>
      <c r="D48" s="48" t="s">
        <v>258</v>
      </c>
      <c r="E48" s="157">
        <f>Nabídka!F43</f>
        <v>0</v>
      </c>
      <c r="F48" s="149">
        <f>Nabídka!H43</f>
        <v>0</v>
      </c>
      <c r="G48" s="157">
        <f>IF(AND(DAY(Postup!$H$24)=1,MONTH(Postup!$H$24)=1),0,E48*Výpočty!$E$17)</f>
        <v>0</v>
      </c>
      <c r="H48" s="158">
        <f>IF(AND(DAY(Postup!$H$24)=1,MONTH(Postup!$H$24)=1),0,F48*Výpočty!$E$17)</f>
        <v>0</v>
      </c>
      <c r="I48" s="632">
        <v>0</v>
      </c>
      <c r="J48" s="186">
        <v>0</v>
      </c>
      <c r="K48" s="863"/>
      <c r="L48" s="863"/>
      <c r="M48" s="864"/>
      <c r="N48" s="190" t="str">
        <f t="shared" si="11"/>
        <v xml:space="preserve">-  </v>
      </c>
      <c r="O48" s="631">
        <f>Nabídka!F43</f>
        <v>0</v>
      </c>
      <c r="P48" s="149">
        <v>0</v>
      </c>
      <c r="Q48" s="632">
        <v>0</v>
      </c>
      <c r="R48" s="186">
        <v>0</v>
      </c>
      <c r="S48" s="333" t="str">
        <f t="shared" si="12"/>
        <v xml:space="preserve">-  </v>
      </c>
      <c r="T48" s="631">
        <f>Nabídka!F43</f>
        <v>0</v>
      </c>
      <c r="U48" s="186">
        <v>0</v>
      </c>
      <c r="V48" s="632">
        <v>0</v>
      </c>
      <c r="W48" s="186">
        <v>0</v>
      </c>
      <c r="X48" s="190" t="str">
        <f t="shared" si="13"/>
        <v xml:space="preserve">-  </v>
      </c>
      <c r="Y48" s="631">
        <f>Nabídka!F43</f>
        <v>0</v>
      </c>
      <c r="Z48" s="186">
        <v>0</v>
      </c>
      <c r="AA48" s="632">
        <v>0</v>
      </c>
      <c r="AB48" s="186">
        <v>0</v>
      </c>
      <c r="AC48" s="190" t="str">
        <f t="shared" si="14"/>
        <v xml:space="preserve">-  </v>
      </c>
      <c r="AD48" s="631">
        <f>Nabídka!F43</f>
        <v>0</v>
      </c>
      <c r="AE48" s="186">
        <v>0</v>
      </c>
      <c r="AF48" s="632">
        <v>0</v>
      </c>
      <c r="AG48" s="186">
        <v>0</v>
      </c>
      <c r="AH48" s="190" t="str">
        <f t="shared" si="15"/>
        <v xml:space="preserve">-  </v>
      </c>
      <c r="AI48" s="632">
        <f>Nabídka!F43</f>
        <v>0</v>
      </c>
      <c r="AJ48" s="186">
        <v>0</v>
      </c>
      <c r="AK48" s="632">
        <v>0</v>
      </c>
      <c r="AL48" s="186">
        <v>0</v>
      </c>
      <c r="AM48" s="190" t="str">
        <f t="shared" si="16"/>
        <v xml:space="preserve">-  </v>
      </c>
      <c r="AN48" s="632">
        <f>Nabídka!F43</f>
        <v>0</v>
      </c>
      <c r="AO48" s="186">
        <v>0</v>
      </c>
      <c r="AP48" s="632">
        <v>0</v>
      </c>
      <c r="AQ48" s="186">
        <v>0</v>
      </c>
      <c r="AR48" s="190" t="str">
        <f t="shared" si="17"/>
        <v xml:space="preserve">-  </v>
      </c>
      <c r="AS48" s="632">
        <f>Nabídka!F43</f>
        <v>0</v>
      </c>
      <c r="AT48" s="149">
        <v>0</v>
      </c>
      <c r="AU48" s="632">
        <v>0</v>
      </c>
      <c r="AV48" s="186">
        <v>0</v>
      </c>
      <c r="AW48" s="190" t="str">
        <f t="shared" si="18"/>
        <v xml:space="preserve">-  </v>
      </c>
      <c r="AX48" s="632">
        <f>Nabídka!F43</f>
        <v>0</v>
      </c>
      <c r="AY48" s="149">
        <v>0</v>
      </c>
      <c r="AZ48" s="632">
        <v>0</v>
      </c>
      <c r="BA48" s="186">
        <v>0</v>
      </c>
      <c r="BB48" s="190" t="str">
        <f t="shared" si="19"/>
        <v xml:space="preserve">-  </v>
      </c>
      <c r="BC48" s="632">
        <f>Nabídka!F43</f>
        <v>0</v>
      </c>
      <c r="BD48" s="149">
        <v>0</v>
      </c>
      <c r="BE48" s="632">
        <v>0</v>
      </c>
      <c r="BF48" s="186">
        <v>0</v>
      </c>
      <c r="BG48" s="190" t="str">
        <f t="shared" si="20"/>
        <v xml:space="preserve">-  </v>
      </c>
      <c r="BH48" s="632">
        <f>Nabídka!F43</f>
        <v>0</v>
      </c>
      <c r="BI48" s="149">
        <v>0</v>
      </c>
      <c r="BJ48" s="632">
        <v>0</v>
      </c>
      <c r="BK48" s="186">
        <v>0</v>
      </c>
      <c r="BL48" s="636">
        <f>IF(AND(DAY(Postup!$H$25)=31,MONTH(Postup!$H$25)=12),0,INDEX($E48:$BP48,MATCH($BL$55,$E$55:$BP$55,0))*Výpočty!$E$23)</f>
        <v>0</v>
      </c>
      <c r="BM48" s="158">
        <f>IF(AND(DAY(Postup!$H$25)=31,MONTH(Postup!$H$25)=12),0,INDEX($E48:$BP48,MATCH($BM$55,$E$55:$BP$55,0))*Výpočty!$E$23)</f>
        <v>0</v>
      </c>
      <c r="BN48" s="184"/>
      <c r="BO48" s="184"/>
      <c r="BP48" s="184"/>
    </row>
    <row r="49" spans="1:68" x14ac:dyDescent="0.25">
      <c r="A49" s="260"/>
      <c r="B49" s="47" t="s">
        <v>69</v>
      </c>
      <c r="C49" s="42" t="s">
        <v>70</v>
      </c>
      <c r="D49" s="48" t="s">
        <v>258</v>
      </c>
      <c r="E49" s="187">
        <f>Nabídka!F44</f>
        <v>0</v>
      </c>
      <c r="F49" s="148">
        <f>Nabídka!H44</f>
        <v>1.4E-2</v>
      </c>
      <c r="G49" s="157">
        <f>IF(AND(DAY(Postup!$H$24)=1,MONTH(Postup!$H$24)=1),0,E49*Výpočty!$E$17)</f>
        <v>0</v>
      </c>
      <c r="H49" s="158">
        <f>IF(AND(DAY(Postup!$H$24)=1,MONTH(Postup!$H$24)=1),0,F49*Výpočty!$E$17)</f>
        <v>0</v>
      </c>
      <c r="I49" s="187">
        <v>0</v>
      </c>
      <c r="J49" s="633">
        <v>0</v>
      </c>
      <c r="K49" s="863"/>
      <c r="L49" s="863"/>
      <c r="M49" s="864"/>
      <c r="N49" s="190" t="str">
        <f t="shared" si="11"/>
        <v xml:space="preserve">-  </v>
      </c>
      <c r="O49" s="187">
        <v>0</v>
      </c>
      <c r="P49" s="631">
        <f>Nabídka!H44</f>
        <v>1.4E-2</v>
      </c>
      <c r="Q49" s="187">
        <v>0</v>
      </c>
      <c r="R49" s="633">
        <v>0</v>
      </c>
      <c r="S49" s="333" t="str">
        <f t="shared" si="12"/>
        <v xml:space="preserve">-  </v>
      </c>
      <c r="T49" s="187">
        <v>0</v>
      </c>
      <c r="U49" s="631">
        <f>Nabídka!H44</f>
        <v>1.4E-2</v>
      </c>
      <c r="V49" s="187">
        <v>0</v>
      </c>
      <c r="W49" s="633">
        <v>0</v>
      </c>
      <c r="X49" s="190" t="str">
        <f t="shared" si="13"/>
        <v xml:space="preserve">-  </v>
      </c>
      <c r="Y49" s="187">
        <v>0</v>
      </c>
      <c r="Z49" s="631">
        <f>Nabídka!H44</f>
        <v>1.4E-2</v>
      </c>
      <c r="AA49" s="187">
        <v>0</v>
      </c>
      <c r="AB49" s="633">
        <v>0</v>
      </c>
      <c r="AC49" s="190" t="str">
        <f t="shared" si="14"/>
        <v xml:space="preserve">-  </v>
      </c>
      <c r="AD49" s="187">
        <v>0</v>
      </c>
      <c r="AE49" s="631">
        <f>Nabídka!H44</f>
        <v>1.4E-2</v>
      </c>
      <c r="AF49" s="187">
        <v>0</v>
      </c>
      <c r="AG49" s="633">
        <v>0</v>
      </c>
      <c r="AH49" s="190" t="str">
        <f t="shared" si="15"/>
        <v xml:space="preserve">-  </v>
      </c>
      <c r="AI49" s="187">
        <v>0</v>
      </c>
      <c r="AJ49" s="632">
        <f>Nabídka!H44</f>
        <v>1.4E-2</v>
      </c>
      <c r="AK49" s="187">
        <v>0</v>
      </c>
      <c r="AL49" s="633">
        <v>0</v>
      </c>
      <c r="AM49" s="190" t="str">
        <f t="shared" si="16"/>
        <v xml:space="preserve">-  </v>
      </c>
      <c r="AN49" s="187">
        <v>0</v>
      </c>
      <c r="AO49" s="632">
        <f>Nabídka!H44</f>
        <v>1.4E-2</v>
      </c>
      <c r="AP49" s="187">
        <v>0</v>
      </c>
      <c r="AQ49" s="633">
        <v>0</v>
      </c>
      <c r="AR49" s="190" t="str">
        <f t="shared" si="17"/>
        <v xml:space="preserve">-  </v>
      </c>
      <c r="AS49" s="187">
        <v>0</v>
      </c>
      <c r="AT49" s="632">
        <f>Nabídka!H44</f>
        <v>1.4E-2</v>
      </c>
      <c r="AU49" s="187">
        <v>0</v>
      </c>
      <c r="AV49" s="633">
        <v>0</v>
      </c>
      <c r="AW49" s="190" t="str">
        <f t="shared" si="18"/>
        <v xml:space="preserve">-  </v>
      </c>
      <c r="AX49" s="187">
        <v>0</v>
      </c>
      <c r="AY49" s="632">
        <f>Nabídka!H44</f>
        <v>1.4E-2</v>
      </c>
      <c r="AZ49" s="187">
        <v>0</v>
      </c>
      <c r="BA49" s="633">
        <v>0</v>
      </c>
      <c r="BB49" s="190" t="str">
        <f t="shared" si="19"/>
        <v xml:space="preserve">-  </v>
      </c>
      <c r="BC49" s="187">
        <v>0</v>
      </c>
      <c r="BD49" s="632">
        <f>Nabídka!H44</f>
        <v>1.4E-2</v>
      </c>
      <c r="BE49" s="187">
        <v>0</v>
      </c>
      <c r="BF49" s="633">
        <v>0</v>
      </c>
      <c r="BG49" s="190" t="str">
        <f t="shared" si="20"/>
        <v xml:space="preserve">-  </v>
      </c>
      <c r="BH49" s="187">
        <v>0</v>
      </c>
      <c r="BI49" s="632">
        <f>Nabídka!H44</f>
        <v>1.4E-2</v>
      </c>
      <c r="BJ49" s="187">
        <v>0</v>
      </c>
      <c r="BK49" s="633">
        <v>0</v>
      </c>
      <c r="BL49" s="419">
        <f>IF(AND(DAY(Postup!$H$25)=31,MONTH(Postup!$H$25)=12),0,INDEX($E49:$BP49,MATCH($BL$55,$E$55:$BP$55,0))*Výpočty!$E$23)</f>
        <v>0</v>
      </c>
      <c r="BM49" s="637">
        <f>IF(AND(DAY(Postup!$H$25)=31,MONTH(Postup!$H$25)=12),0,INDEX($E49:$BP49,MATCH($BM$55,$E$55:$BP$55,0))*Výpočty!$E$23)</f>
        <v>0</v>
      </c>
      <c r="BN49" s="184"/>
      <c r="BO49" s="184"/>
      <c r="BP49" s="184"/>
    </row>
    <row r="50" spans="1:68" x14ac:dyDescent="0.25">
      <c r="A50" s="260"/>
      <c r="B50" s="47" t="s">
        <v>71</v>
      </c>
      <c r="C50" s="42" t="s">
        <v>68</v>
      </c>
      <c r="D50" s="48" t="s">
        <v>258</v>
      </c>
      <c r="E50" s="187">
        <f>Nabídka!F45</f>
        <v>0</v>
      </c>
      <c r="F50" s="148">
        <f>Nabídka!H45</f>
        <v>7.4190000000000002E-3</v>
      </c>
      <c r="G50" s="157">
        <f>IF(AND(DAY(Postup!$H$24)=1,MONTH(Postup!$H$24)=1),0,E50*Výpočty!$E$17)</f>
        <v>0</v>
      </c>
      <c r="H50" s="158">
        <f>IF(AND(DAY(Postup!$H$24)=1,MONTH(Postup!$H$24)=1),0,F50*Výpočty!$E$17)</f>
        <v>0</v>
      </c>
      <c r="I50" s="187">
        <v>0</v>
      </c>
      <c r="J50" s="633">
        <v>0</v>
      </c>
      <c r="K50" s="863"/>
      <c r="L50" s="863"/>
      <c r="M50" s="864"/>
      <c r="N50" s="190" t="str">
        <f t="shared" si="11"/>
        <v xml:space="preserve">-  </v>
      </c>
      <c r="O50" s="187">
        <v>0</v>
      </c>
      <c r="P50" s="631">
        <f>Nabídka!H45</f>
        <v>7.4190000000000002E-3</v>
      </c>
      <c r="Q50" s="187">
        <v>0</v>
      </c>
      <c r="R50" s="633">
        <v>0</v>
      </c>
      <c r="S50" s="333" t="str">
        <f t="shared" si="12"/>
        <v xml:space="preserve">-  </v>
      </c>
      <c r="T50" s="187">
        <v>0</v>
      </c>
      <c r="U50" s="631">
        <f>Nabídka!H45</f>
        <v>7.4190000000000002E-3</v>
      </c>
      <c r="V50" s="187">
        <v>0</v>
      </c>
      <c r="W50" s="633">
        <v>0</v>
      </c>
      <c r="X50" s="190" t="str">
        <f t="shared" si="13"/>
        <v xml:space="preserve">-  </v>
      </c>
      <c r="Y50" s="187">
        <v>0</v>
      </c>
      <c r="Z50" s="631">
        <f>Nabídka!H45</f>
        <v>7.4190000000000002E-3</v>
      </c>
      <c r="AA50" s="187">
        <v>0</v>
      </c>
      <c r="AB50" s="633">
        <v>0</v>
      </c>
      <c r="AC50" s="190" t="str">
        <f t="shared" si="14"/>
        <v xml:space="preserve">-  </v>
      </c>
      <c r="AD50" s="187">
        <v>0</v>
      </c>
      <c r="AE50" s="631">
        <f>Nabídka!H45</f>
        <v>7.4190000000000002E-3</v>
      </c>
      <c r="AF50" s="187">
        <v>0</v>
      </c>
      <c r="AG50" s="633">
        <v>0</v>
      </c>
      <c r="AH50" s="190" t="str">
        <f t="shared" si="15"/>
        <v xml:space="preserve">-  </v>
      </c>
      <c r="AI50" s="187">
        <v>0</v>
      </c>
      <c r="AJ50" s="632">
        <f>Nabídka!H45</f>
        <v>7.4190000000000002E-3</v>
      </c>
      <c r="AK50" s="187">
        <v>0</v>
      </c>
      <c r="AL50" s="633">
        <v>0</v>
      </c>
      <c r="AM50" s="190" t="str">
        <f t="shared" si="16"/>
        <v xml:space="preserve">-  </v>
      </c>
      <c r="AN50" s="187">
        <v>0</v>
      </c>
      <c r="AO50" s="632">
        <f>Nabídka!H45</f>
        <v>7.4190000000000002E-3</v>
      </c>
      <c r="AP50" s="187">
        <v>0</v>
      </c>
      <c r="AQ50" s="633">
        <v>0</v>
      </c>
      <c r="AR50" s="190" t="str">
        <f t="shared" si="17"/>
        <v xml:space="preserve">-  </v>
      </c>
      <c r="AS50" s="187">
        <v>0</v>
      </c>
      <c r="AT50" s="632">
        <f>Nabídka!H45</f>
        <v>7.4190000000000002E-3</v>
      </c>
      <c r="AU50" s="187">
        <v>0</v>
      </c>
      <c r="AV50" s="633">
        <v>0</v>
      </c>
      <c r="AW50" s="190" t="str">
        <f t="shared" si="18"/>
        <v xml:space="preserve">-  </v>
      </c>
      <c r="AX50" s="187">
        <v>0</v>
      </c>
      <c r="AY50" s="632">
        <f>Nabídka!H45</f>
        <v>7.4190000000000002E-3</v>
      </c>
      <c r="AZ50" s="187">
        <v>0</v>
      </c>
      <c r="BA50" s="633">
        <v>0</v>
      </c>
      <c r="BB50" s="190" t="str">
        <f t="shared" si="19"/>
        <v xml:space="preserve">-  </v>
      </c>
      <c r="BC50" s="187">
        <v>0</v>
      </c>
      <c r="BD50" s="632">
        <f>Nabídka!H45</f>
        <v>7.4190000000000002E-3</v>
      </c>
      <c r="BE50" s="187">
        <v>0</v>
      </c>
      <c r="BF50" s="633">
        <v>0</v>
      </c>
      <c r="BG50" s="190" t="str">
        <f t="shared" si="20"/>
        <v xml:space="preserve">-  </v>
      </c>
      <c r="BH50" s="187">
        <v>0</v>
      </c>
      <c r="BI50" s="632">
        <f>Nabídka!H45</f>
        <v>7.4190000000000002E-3</v>
      </c>
      <c r="BJ50" s="187">
        <v>0</v>
      </c>
      <c r="BK50" s="633">
        <v>0</v>
      </c>
      <c r="BL50" s="419">
        <f>IF(AND(DAY(Postup!$H$25)=31,MONTH(Postup!$H$25)=12),0,INDEX($E50:$BP50,MATCH($BL$55,$E$55:$BP$55,0))*Výpočty!$E$23)</f>
        <v>0</v>
      </c>
      <c r="BM50" s="637">
        <f>IF(AND(DAY(Postup!$H$25)=31,MONTH(Postup!$H$25)=12),0,INDEX($E50:$BP50,MATCH($BM$55,$E$55:$BP$55,0))*Výpočty!$E$23)</f>
        <v>0</v>
      </c>
      <c r="BN50" s="184"/>
      <c r="BO50" s="184"/>
      <c r="BP50" s="184"/>
    </row>
    <row r="51" spans="1:68" x14ac:dyDescent="0.25">
      <c r="A51" s="260"/>
      <c r="B51" s="47" t="s">
        <v>72</v>
      </c>
      <c r="C51" s="42" t="s">
        <v>73</v>
      </c>
      <c r="D51" s="48" t="s">
        <v>258</v>
      </c>
      <c r="E51" s="187">
        <f>Nabídka!F46</f>
        <v>0</v>
      </c>
      <c r="F51" s="148">
        <f>Nabídka!H46</f>
        <v>0</v>
      </c>
      <c r="G51" s="157">
        <f>IF(AND(DAY(Postup!$H$24)=1,MONTH(Postup!$H$24)=1),0,E51*Výpočty!$E$17)</f>
        <v>0</v>
      </c>
      <c r="H51" s="158">
        <f>IF(AND(DAY(Postup!$H$24)=1,MONTH(Postup!$H$24)=1),0,F51*Výpočty!$E$17)</f>
        <v>0</v>
      </c>
      <c r="I51" s="187">
        <v>0</v>
      </c>
      <c r="J51" s="633">
        <v>0</v>
      </c>
      <c r="K51" s="863"/>
      <c r="L51" s="863"/>
      <c r="M51" s="864"/>
      <c r="N51" s="190" t="str">
        <f t="shared" si="11"/>
        <v xml:space="preserve">-  </v>
      </c>
      <c r="O51" s="187">
        <v>0</v>
      </c>
      <c r="P51" s="631">
        <f>Nabídka!H46</f>
        <v>0</v>
      </c>
      <c r="Q51" s="187">
        <v>0</v>
      </c>
      <c r="R51" s="633">
        <v>0</v>
      </c>
      <c r="S51" s="333" t="str">
        <f t="shared" si="12"/>
        <v xml:space="preserve">-  </v>
      </c>
      <c r="T51" s="187">
        <v>0</v>
      </c>
      <c r="U51" s="631">
        <f>Nabídka!H46</f>
        <v>0</v>
      </c>
      <c r="V51" s="187">
        <v>0</v>
      </c>
      <c r="W51" s="633">
        <v>0</v>
      </c>
      <c r="X51" s="190" t="str">
        <f t="shared" si="13"/>
        <v xml:space="preserve">-  </v>
      </c>
      <c r="Y51" s="187">
        <v>0</v>
      </c>
      <c r="Z51" s="631">
        <f>Nabídka!H46</f>
        <v>0</v>
      </c>
      <c r="AA51" s="187">
        <v>0</v>
      </c>
      <c r="AB51" s="633">
        <v>0</v>
      </c>
      <c r="AC51" s="190" t="str">
        <f t="shared" si="14"/>
        <v xml:space="preserve">-  </v>
      </c>
      <c r="AD51" s="187">
        <v>0</v>
      </c>
      <c r="AE51" s="631">
        <f>Nabídka!H46</f>
        <v>0</v>
      </c>
      <c r="AF51" s="187">
        <v>0</v>
      </c>
      <c r="AG51" s="633">
        <v>0</v>
      </c>
      <c r="AH51" s="190" t="str">
        <f t="shared" si="15"/>
        <v xml:space="preserve">-  </v>
      </c>
      <c r="AI51" s="187">
        <v>0</v>
      </c>
      <c r="AJ51" s="632">
        <f>Nabídka!H46</f>
        <v>0</v>
      </c>
      <c r="AK51" s="187">
        <v>0</v>
      </c>
      <c r="AL51" s="633">
        <v>0</v>
      </c>
      <c r="AM51" s="190" t="str">
        <f t="shared" si="16"/>
        <v xml:space="preserve">-  </v>
      </c>
      <c r="AN51" s="187">
        <v>0</v>
      </c>
      <c r="AO51" s="632">
        <f>Nabídka!H46</f>
        <v>0</v>
      </c>
      <c r="AP51" s="187">
        <v>0</v>
      </c>
      <c r="AQ51" s="633">
        <v>0</v>
      </c>
      <c r="AR51" s="190" t="str">
        <f t="shared" si="17"/>
        <v xml:space="preserve">-  </v>
      </c>
      <c r="AS51" s="187">
        <v>0</v>
      </c>
      <c r="AT51" s="632">
        <f>Nabídka!H46</f>
        <v>0</v>
      </c>
      <c r="AU51" s="187">
        <v>0</v>
      </c>
      <c r="AV51" s="633">
        <v>0</v>
      </c>
      <c r="AW51" s="190" t="str">
        <f t="shared" si="18"/>
        <v xml:space="preserve">-  </v>
      </c>
      <c r="AX51" s="187">
        <v>0</v>
      </c>
      <c r="AY51" s="632">
        <f>Nabídka!H46</f>
        <v>0</v>
      </c>
      <c r="AZ51" s="187">
        <v>0</v>
      </c>
      <c r="BA51" s="633">
        <v>0</v>
      </c>
      <c r="BB51" s="190" t="str">
        <f t="shared" si="19"/>
        <v xml:space="preserve">-  </v>
      </c>
      <c r="BC51" s="187">
        <v>0</v>
      </c>
      <c r="BD51" s="632">
        <f>Nabídka!H46</f>
        <v>0</v>
      </c>
      <c r="BE51" s="187">
        <v>0</v>
      </c>
      <c r="BF51" s="633">
        <v>0</v>
      </c>
      <c r="BG51" s="190" t="str">
        <f t="shared" si="20"/>
        <v xml:space="preserve">-  </v>
      </c>
      <c r="BH51" s="187">
        <v>0</v>
      </c>
      <c r="BI51" s="632">
        <f>Nabídka!H46</f>
        <v>0</v>
      </c>
      <c r="BJ51" s="187">
        <v>0</v>
      </c>
      <c r="BK51" s="633">
        <v>0</v>
      </c>
      <c r="BL51" s="419">
        <f>IF(AND(DAY(Postup!$H$25)=31,MONTH(Postup!$H$25)=12),0,INDEX($E51:$BP51,MATCH($BL$55,$E$55:$BP$55,0))*Výpočty!$E$23)</f>
        <v>0</v>
      </c>
      <c r="BM51" s="637">
        <f>IF(AND(DAY(Postup!$H$25)=31,MONTH(Postup!$H$25)=12),0,INDEX($E51:$BP51,MATCH($BM$55,$E$55:$BP$55,0))*Výpočty!$E$23)</f>
        <v>0</v>
      </c>
      <c r="BN51" s="184"/>
      <c r="BO51" s="184"/>
      <c r="BP51" s="184"/>
    </row>
    <row r="52" spans="1:68" x14ac:dyDescent="0.25">
      <c r="A52" s="260"/>
      <c r="B52" s="47" t="s">
        <v>74</v>
      </c>
      <c r="C52" s="42" t="s">
        <v>75</v>
      </c>
      <c r="D52" s="48" t="s">
        <v>258</v>
      </c>
      <c r="E52" s="187">
        <f>Nabídka!F47</f>
        <v>0</v>
      </c>
      <c r="F52" s="148">
        <f>Nabídka!H47</f>
        <v>0</v>
      </c>
      <c r="G52" s="157">
        <f>IF(AND(DAY(Postup!$H$24)=1,MONTH(Postup!$H$24)=1),0,E52*Výpočty!$E$17)</f>
        <v>0</v>
      </c>
      <c r="H52" s="158">
        <f>IF(AND(DAY(Postup!$H$24)=1,MONTH(Postup!$H$24)=1),0,F52*Výpočty!$E$17)</f>
        <v>0</v>
      </c>
      <c r="I52" s="187">
        <v>0</v>
      </c>
      <c r="J52" s="633">
        <v>0</v>
      </c>
      <c r="K52" s="863"/>
      <c r="L52" s="863"/>
      <c r="M52" s="864"/>
      <c r="N52" s="190" t="str">
        <f t="shared" si="11"/>
        <v xml:space="preserve">-  </v>
      </c>
      <c r="O52" s="187">
        <v>0</v>
      </c>
      <c r="P52" s="631">
        <f>Nabídka!H47</f>
        <v>0</v>
      </c>
      <c r="Q52" s="187">
        <v>0</v>
      </c>
      <c r="R52" s="633">
        <v>0</v>
      </c>
      <c r="S52" s="333" t="str">
        <f t="shared" si="12"/>
        <v xml:space="preserve">-  </v>
      </c>
      <c r="T52" s="187">
        <v>0</v>
      </c>
      <c r="U52" s="631">
        <f>Nabídka!H47</f>
        <v>0</v>
      </c>
      <c r="V52" s="187">
        <v>0</v>
      </c>
      <c r="W52" s="633">
        <v>0</v>
      </c>
      <c r="X52" s="190" t="str">
        <f t="shared" si="13"/>
        <v xml:space="preserve">-  </v>
      </c>
      <c r="Y52" s="187">
        <v>0</v>
      </c>
      <c r="Z52" s="631">
        <f>Nabídka!H47</f>
        <v>0</v>
      </c>
      <c r="AA52" s="187">
        <v>0</v>
      </c>
      <c r="AB52" s="633">
        <v>0</v>
      </c>
      <c r="AC52" s="190" t="str">
        <f t="shared" si="14"/>
        <v xml:space="preserve">-  </v>
      </c>
      <c r="AD52" s="187">
        <v>0</v>
      </c>
      <c r="AE52" s="631">
        <f>Nabídka!H47</f>
        <v>0</v>
      </c>
      <c r="AF52" s="187">
        <v>0</v>
      </c>
      <c r="AG52" s="633">
        <v>0</v>
      </c>
      <c r="AH52" s="190" t="str">
        <f t="shared" si="15"/>
        <v xml:space="preserve">-  </v>
      </c>
      <c r="AI52" s="187">
        <v>0</v>
      </c>
      <c r="AJ52" s="632">
        <f>Nabídka!H47</f>
        <v>0</v>
      </c>
      <c r="AK52" s="187">
        <v>0</v>
      </c>
      <c r="AL52" s="633">
        <v>0</v>
      </c>
      <c r="AM52" s="190" t="str">
        <f t="shared" si="16"/>
        <v xml:space="preserve">-  </v>
      </c>
      <c r="AN52" s="187">
        <v>0</v>
      </c>
      <c r="AO52" s="632">
        <f>Nabídka!H47</f>
        <v>0</v>
      </c>
      <c r="AP52" s="187">
        <v>0</v>
      </c>
      <c r="AQ52" s="633">
        <v>0</v>
      </c>
      <c r="AR52" s="190" t="str">
        <f t="shared" si="17"/>
        <v xml:space="preserve">-  </v>
      </c>
      <c r="AS52" s="187">
        <v>0</v>
      </c>
      <c r="AT52" s="632">
        <f>Nabídka!H47</f>
        <v>0</v>
      </c>
      <c r="AU52" s="187">
        <v>0</v>
      </c>
      <c r="AV52" s="633">
        <v>0</v>
      </c>
      <c r="AW52" s="190" t="str">
        <f t="shared" si="18"/>
        <v xml:space="preserve">-  </v>
      </c>
      <c r="AX52" s="187">
        <v>0</v>
      </c>
      <c r="AY52" s="632">
        <f>Nabídka!H47</f>
        <v>0</v>
      </c>
      <c r="AZ52" s="187">
        <v>0</v>
      </c>
      <c r="BA52" s="633">
        <v>0</v>
      </c>
      <c r="BB52" s="190" t="str">
        <f t="shared" si="19"/>
        <v xml:space="preserve">-  </v>
      </c>
      <c r="BC52" s="187">
        <v>0</v>
      </c>
      <c r="BD52" s="632">
        <f>Nabídka!H47</f>
        <v>0</v>
      </c>
      <c r="BE52" s="187">
        <v>0</v>
      </c>
      <c r="BF52" s="633">
        <v>0</v>
      </c>
      <c r="BG52" s="190" t="str">
        <f t="shared" si="20"/>
        <v xml:space="preserve">-  </v>
      </c>
      <c r="BH52" s="187">
        <v>0</v>
      </c>
      <c r="BI52" s="632">
        <f>Nabídka!H47</f>
        <v>0</v>
      </c>
      <c r="BJ52" s="187">
        <v>0</v>
      </c>
      <c r="BK52" s="633">
        <v>0</v>
      </c>
      <c r="BL52" s="419">
        <f>IF(AND(DAY(Postup!$H$25)=31,MONTH(Postup!$H$25)=12),0,INDEX($E52:$BP52,MATCH($BL$55,$E$55:$BP$55,0))*Výpočty!$E$23)</f>
        <v>0</v>
      </c>
      <c r="BM52" s="637">
        <f>IF(AND(DAY(Postup!$H$25)=31,MONTH(Postup!$H$25)=12),0,INDEX($E52:$BP52,MATCH($BM$55,$E$55:$BP$55,0))*Výpočty!$E$23)</f>
        <v>0</v>
      </c>
      <c r="BN52" s="184"/>
      <c r="BO52" s="184"/>
      <c r="BP52" s="184"/>
    </row>
    <row r="53" spans="1:68" x14ac:dyDescent="0.25">
      <c r="A53" s="260"/>
      <c r="B53" s="47" t="s">
        <v>76</v>
      </c>
      <c r="C53" s="42" t="s">
        <v>77</v>
      </c>
      <c r="D53" s="48" t="s">
        <v>258</v>
      </c>
      <c r="E53" s="157">
        <f>Nabídka!F48</f>
        <v>0</v>
      </c>
      <c r="F53" s="148">
        <f>Nabídka!H48</f>
        <v>0</v>
      </c>
      <c r="G53" s="157">
        <f>IF(AND(DAY(Postup!$H$24)=1,MONTH(Postup!$H$24)=1),0,E53*Výpočty!$E$17)</f>
        <v>0</v>
      </c>
      <c r="H53" s="158">
        <f>IF(AND(DAY(Postup!$H$24)=1,MONTH(Postup!$H$24)=1),0,F53*Výpočty!$E$17)</f>
        <v>0</v>
      </c>
      <c r="I53" s="632">
        <v>0</v>
      </c>
      <c r="J53" s="633">
        <v>0</v>
      </c>
      <c r="K53" s="863"/>
      <c r="L53" s="863"/>
      <c r="M53" s="864"/>
      <c r="N53" s="190" t="str">
        <f t="shared" si="11"/>
        <v xml:space="preserve">-  </v>
      </c>
      <c r="O53" s="631">
        <f>Nabídka!F48</f>
        <v>0</v>
      </c>
      <c r="P53" s="631">
        <f>Nabídka!H48</f>
        <v>0</v>
      </c>
      <c r="Q53" s="632">
        <v>0</v>
      </c>
      <c r="R53" s="633">
        <v>0</v>
      </c>
      <c r="S53" s="333" t="str">
        <f t="shared" si="12"/>
        <v xml:space="preserve">-  </v>
      </c>
      <c r="T53" s="631">
        <f>Nabídka!F48</f>
        <v>0</v>
      </c>
      <c r="U53" s="631">
        <f>Nabídka!H48</f>
        <v>0</v>
      </c>
      <c r="V53" s="632">
        <v>0</v>
      </c>
      <c r="W53" s="633">
        <v>0</v>
      </c>
      <c r="X53" s="190" t="str">
        <f t="shared" si="13"/>
        <v xml:space="preserve">-  </v>
      </c>
      <c r="Y53" s="631">
        <f>Nabídka!F48</f>
        <v>0</v>
      </c>
      <c r="Z53" s="631">
        <f>Nabídka!H48</f>
        <v>0</v>
      </c>
      <c r="AA53" s="632">
        <v>0</v>
      </c>
      <c r="AB53" s="633">
        <v>0</v>
      </c>
      <c r="AC53" s="190" t="str">
        <f t="shared" si="14"/>
        <v xml:space="preserve">-  </v>
      </c>
      <c r="AD53" s="631">
        <f>Nabídka!F48</f>
        <v>0</v>
      </c>
      <c r="AE53" s="631">
        <f>Nabídka!H48</f>
        <v>0</v>
      </c>
      <c r="AF53" s="632">
        <v>0</v>
      </c>
      <c r="AG53" s="633">
        <v>0</v>
      </c>
      <c r="AH53" s="190" t="str">
        <f t="shared" si="15"/>
        <v xml:space="preserve">-  </v>
      </c>
      <c r="AI53" s="632">
        <f>Nabídka!F48</f>
        <v>0</v>
      </c>
      <c r="AJ53" s="632">
        <f>Nabídka!H48</f>
        <v>0</v>
      </c>
      <c r="AK53" s="632">
        <v>0</v>
      </c>
      <c r="AL53" s="633">
        <v>0</v>
      </c>
      <c r="AM53" s="190" t="str">
        <f t="shared" si="16"/>
        <v xml:space="preserve">-  </v>
      </c>
      <c r="AN53" s="632">
        <f>Nabídka!F48</f>
        <v>0</v>
      </c>
      <c r="AO53" s="632">
        <f>Nabídka!H48</f>
        <v>0</v>
      </c>
      <c r="AP53" s="632">
        <v>0</v>
      </c>
      <c r="AQ53" s="633">
        <v>0</v>
      </c>
      <c r="AR53" s="190" t="str">
        <f t="shared" si="17"/>
        <v xml:space="preserve">-  </v>
      </c>
      <c r="AS53" s="632">
        <f>Nabídka!F48</f>
        <v>0</v>
      </c>
      <c r="AT53" s="632">
        <f>Nabídka!H48</f>
        <v>0</v>
      </c>
      <c r="AU53" s="632">
        <v>0</v>
      </c>
      <c r="AV53" s="633">
        <v>0</v>
      </c>
      <c r="AW53" s="190" t="str">
        <f t="shared" si="18"/>
        <v xml:space="preserve">-  </v>
      </c>
      <c r="AX53" s="632">
        <f>Nabídka!F48</f>
        <v>0</v>
      </c>
      <c r="AY53" s="632">
        <f>Nabídka!H48</f>
        <v>0</v>
      </c>
      <c r="AZ53" s="632">
        <v>0</v>
      </c>
      <c r="BA53" s="633">
        <v>0</v>
      </c>
      <c r="BB53" s="190" t="str">
        <f t="shared" si="19"/>
        <v xml:space="preserve">-  </v>
      </c>
      <c r="BC53" s="632">
        <f>Nabídka!F48</f>
        <v>0</v>
      </c>
      <c r="BD53" s="632">
        <f>Nabídka!H48</f>
        <v>0</v>
      </c>
      <c r="BE53" s="632">
        <v>0</v>
      </c>
      <c r="BF53" s="633">
        <v>0</v>
      </c>
      <c r="BG53" s="190" t="str">
        <f t="shared" si="20"/>
        <v xml:space="preserve">-  </v>
      </c>
      <c r="BH53" s="632">
        <f>Nabídka!F48</f>
        <v>0</v>
      </c>
      <c r="BI53" s="632">
        <f>Nabídka!H48</f>
        <v>0</v>
      </c>
      <c r="BJ53" s="632">
        <v>0</v>
      </c>
      <c r="BK53" s="633">
        <v>0</v>
      </c>
      <c r="BL53" s="636">
        <f>IF(AND(DAY(Postup!$H$25)=31,MONTH(Postup!$H$25)=12),0,INDEX($E53:$BP53,MATCH($BL$55,$E$55:$BP$55,0))*Výpočty!$E$23)</f>
        <v>0</v>
      </c>
      <c r="BM53" s="637">
        <f>IF(AND(DAY(Postup!$H$25)=31,MONTH(Postup!$H$25)=12),0,INDEX($E53:$BP53,MATCH($BM$55,$E$55:$BP$55,0))*Výpočty!$E$23)</f>
        <v>0</v>
      </c>
      <c r="BN53" s="184"/>
      <c r="BO53" s="184"/>
      <c r="BP53" s="184"/>
    </row>
    <row r="54" spans="1:68" ht="15.75" thickBot="1" x14ac:dyDescent="0.3">
      <c r="A54" s="260"/>
      <c r="B54" s="47" t="s">
        <v>78</v>
      </c>
      <c r="C54" s="42" t="s">
        <v>79</v>
      </c>
      <c r="D54" s="48" t="s">
        <v>258</v>
      </c>
      <c r="E54" s="160">
        <f>Nabídka!F49</f>
        <v>0</v>
      </c>
      <c r="F54" s="161">
        <f>Nabídka!H49</f>
        <v>1.4E-2</v>
      </c>
      <c r="G54" s="278">
        <f>IF(AND(DAY(Postup!$H$24)=1,MONTH(Postup!$H$24)=1),0,E54*Výpočty!$E$17)</f>
        <v>0</v>
      </c>
      <c r="H54" s="162">
        <f>IF(AND(DAY(Postup!$H$24)=1,MONTH(Postup!$H$24)=1),0,F54*Výpočty!$E$17)</f>
        <v>0</v>
      </c>
      <c r="I54" s="635">
        <v>0</v>
      </c>
      <c r="J54" s="634">
        <v>0</v>
      </c>
      <c r="K54" s="863"/>
      <c r="L54" s="863"/>
      <c r="M54" s="864"/>
      <c r="N54" s="190" t="str">
        <f t="shared" si="11"/>
        <v xml:space="preserve">-  </v>
      </c>
      <c r="O54" s="631">
        <f>Nabídka!F49</f>
        <v>0</v>
      </c>
      <c r="P54" s="631">
        <f>Nabídka!H49</f>
        <v>1.4E-2</v>
      </c>
      <c r="Q54" s="635">
        <v>0</v>
      </c>
      <c r="R54" s="634">
        <v>0</v>
      </c>
      <c r="S54" s="333" t="str">
        <f t="shared" si="12"/>
        <v xml:space="preserve">-  </v>
      </c>
      <c r="T54" s="631">
        <f>Nabídka!F49</f>
        <v>0</v>
      </c>
      <c r="U54" s="631">
        <f>Nabídka!H49</f>
        <v>1.4E-2</v>
      </c>
      <c r="V54" s="635">
        <v>0</v>
      </c>
      <c r="W54" s="634">
        <v>0</v>
      </c>
      <c r="X54" s="190" t="str">
        <f t="shared" si="13"/>
        <v xml:space="preserve">-  </v>
      </c>
      <c r="Y54" s="631">
        <f>Nabídka!F49</f>
        <v>0</v>
      </c>
      <c r="Z54" s="631">
        <f>Nabídka!H49</f>
        <v>1.4E-2</v>
      </c>
      <c r="AA54" s="635">
        <v>0</v>
      </c>
      <c r="AB54" s="634">
        <v>0</v>
      </c>
      <c r="AC54" s="190" t="str">
        <f t="shared" si="14"/>
        <v xml:space="preserve">-  </v>
      </c>
      <c r="AD54" s="631">
        <f>Nabídka!F49</f>
        <v>0</v>
      </c>
      <c r="AE54" s="631">
        <f>Nabídka!H49</f>
        <v>1.4E-2</v>
      </c>
      <c r="AF54" s="635">
        <v>0</v>
      </c>
      <c r="AG54" s="634">
        <v>0</v>
      </c>
      <c r="AH54" s="190" t="str">
        <f t="shared" si="15"/>
        <v xml:space="preserve">-  </v>
      </c>
      <c r="AI54" s="632">
        <f>Nabídka!F49</f>
        <v>0</v>
      </c>
      <c r="AJ54" s="632">
        <f>Nabídka!H49</f>
        <v>1.4E-2</v>
      </c>
      <c r="AK54" s="635">
        <v>0</v>
      </c>
      <c r="AL54" s="634">
        <v>0</v>
      </c>
      <c r="AM54" s="190" t="str">
        <f t="shared" si="16"/>
        <v xml:space="preserve">-  </v>
      </c>
      <c r="AN54" s="632">
        <f>Nabídka!F49</f>
        <v>0</v>
      </c>
      <c r="AO54" s="632">
        <f>Nabídka!H49</f>
        <v>1.4E-2</v>
      </c>
      <c r="AP54" s="635">
        <v>0</v>
      </c>
      <c r="AQ54" s="634">
        <v>0</v>
      </c>
      <c r="AR54" s="190" t="str">
        <f t="shared" si="17"/>
        <v xml:space="preserve">-  </v>
      </c>
      <c r="AS54" s="632">
        <f>Nabídka!F49</f>
        <v>0</v>
      </c>
      <c r="AT54" s="632">
        <f>Nabídka!H49</f>
        <v>1.4E-2</v>
      </c>
      <c r="AU54" s="635">
        <v>0</v>
      </c>
      <c r="AV54" s="634">
        <v>0</v>
      </c>
      <c r="AW54" s="190" t="str">
        <f t="shared" si="18"/>
        <v xml:space="preserve">-  </v>
      </c>
      <c r="AX54" s="632">
        <f>Nabídka!F49</f>
        <v>0</v>
      </c>
      <c r="AY54" s="632">
        <f>Nabídka!H49</f>
        <v>1.4E-2</v>
      </c>
      <c r="AZ54" s="635">
        <v>0</v>
      </c>
      <c r="BA54" s="634">
        <v>0</v>
      </c>
      <c r="BB54" s="190" t="str">
        <f t="shared" si="19"/>
        <v xml:space="preserve">-  </v>
      </c>
      <c r="BC54" s="632">
        <f>Nabídka!F49</f>
        <v>0</v>
      </c>
      <c r="BD54" s="632">
        <f>Nabídka!H49</f>
        <v>1.4E-2</v>
      </c>
      <c r="BE54" s="635">
        <v>0</v>
      </c>
      <c r="BF54" s="634">
        <v>0</v>
      </c>
      <c r="BG54" s="190" t="str">
        <f t="shared" si="20"/>
        <v xml:space="preserve">-  </v>
      </c>
      <c r="BH54" s="632">
        <f>Nabídka!F49</f>
        <v>0</v>
      </c>
      <c r="BI54" s="632">
        <f>Nabídka!H49</f>
        <v>1.4E-2</v>
      </c>
      <c r="BJ54" s="635">
        <v>0</v>
      </c>
      <c r="BK54" s="634">
        <v>0</v>
      </c>
      <c r="BL54" s="639">
        <f>IF(AND(DAY(Postup!$H$25)=31,MONTH(Postup!$H$25)=12),0,INDEX($E54:$BP54,MATCH($BL$55,$E$55:$BP$55,0))*Výpočty!$E$23)</f>
        <v>0</v>
      </c>
      <c r="BM54" s="638">
        <f>IF(AND(DAY(Postup!$H$25)=31,MONTH(Postup!$H$25)=12),0,INDEX($E54:$BP54,MATCH($BM$55,$E$55:$BP$55,0))*Výpočty!$E$23)</f>
        <v>0</v>
      </c>
      <c r="BN54" s="184"/>
      <c r="BO54" s="184"/>
      <c r="BP54" s="184"/>
    </row>
    <row r="55" spans="1:68" x14ac:dyDescent="0.25">
      <c r="A55" s="260"/>
      <c r="B55" s="107"/>
      <c r="C55" s="52"/>
      <c r="D55" s="108"/>
      <c r="E55" s="196" t="str">
        <f>CONCATENATE(E18," PV")</f>
        <v>2020 PV</v>
      </c>
      <c r="F55" s="196" t="str">
        <f>CONCATENATE(E18," OV")</f>
        <v>2020 OV</v>
      </c>
      <c r="G55" s="184"/>
      <c r="H55" s="184"/>
      <c r="K55" s="110"/>
      <c r="L55" s="110"/>
      <c r="M55" s="110"/>
      <c r="N55" s="111"/>
      <c r="O55" s="196" t="str">
        <f>CONCATENATE(O18," PV")</f>
        <v>2021 PV</v>
      </c>
      <c r="P55" s="196" t="str">
        <f>CONCATENATE(O18," OV")</f>
        <v>2021 OV</v>
      </c>
      <c r="Q55" s="261"/>
      <c r="S55" s="182"/>
      <c r="T55" s="196" t="str">
        <f>CONCATENATE(T18," PV")</f>
        <v>2022 PV</v>
      </c>
      <c r="U55" s="196" t="str">
        <f>CONCATENATE(T18," OV")</f>
        <v>2022 OV</v>
      </c>
      <c r="V55" s="261"/>
      <c r="X55" s="259"/>
      <c r="Y55" s="196" t="str">
        <f>CONCATENATE(Y18," PV")</f>
        <v>2023 PV</v>
      </c>
      <c r="Z55" s="196" t="str">
        <f>CONCATENATE(Y18," OV")</f>
        <v>2023 OV</v>
      </c>
      <c r="AA55" s="261"/>
      <c r="AC55" s="259"/>
      <c r="AD55" s="196" t="str">
        <f>CONCATENATE(AD18," PV")</f>
        <v>2024 PV</v>
      </c>
      <c r="AE55" s="196" t="str">
        <f>CONCATENATE(AD18," OV")</f>
        <v>2024 OV</v>
      </c>
      <c r="AF55" s="261"/>
      <c r="AH55" s="259"/>
      <c r="AI55" s="196" t="str">
        <f>CONCATENATE(AI18," PV")</f>
        <v>2025 PV</v>
      </c>
      <c r="AJ55" s="196" t="str">
        <f>CONCATENATE(AI18," OV")</f>
        <v>2025 OV</v>
      </c>
      <c r="AK55" s="261"/>
      <c r="AM55" s="259"/>
      <c r="AN55" s="196" t="str">
        <f>CONCATENATE(AN18," PV")</f>
        <v>2026 PV</v>
      </c>
      <c r="AO55" s="196" t="str">
        <f>CONCATENATE(AN18," OV")</f>
        <v>2026 OV</v>
      </c>
      <c r="AP55" s="261"/>
      <c r="AR55" s="259"/>
      <c r="AS55" s="196" t="str">
        <f>CONCATENATE(AS18," PV")</f>
        <v>2027 PV</v>
      </c>
      <c r="AT55" s="196" t="str">
        <f>CONCATENATE(AS18," OV")</f>
        <v>2027 OV</v>
      </c>
      <c r="AU55" s="261"/>
      <c r="AW55" s="259"/>
      <c r="AX55" s="196" t="str">
        <f>CONCATENATE(AX18," PV")</f>
        <v>2028 PV</v>
      </c>
      <c r="AY55" s="196" t="str">
        <f>CONCATENATE(AX18," OV")</f>
        <v>2028 OV</v>
      </c>
      <c r="AZ55" s="261"/>
      <c r="BB55" s="259"/>
      <c r="BC55" s="196" t="str">
        <f>CONCATENATE(BC18," PV")</f>
        <v>2029 PV</v>
      </c>
      <c r="BD55" s="196" t="str">
        <f>CONCATENATE(BC18," OV")</f>
        <v>2029 OV</v>
      </c>
      <c r="BE55" s="261"/>
      <c r="BG55" s="259"/>
      <c r="BH55" s="196" t="str">
        <f>CONCATENATE(BH18," PV")</f>
        <v>2030 PV</v>
      </c>
      <c r="BI55" s="196" t="str">
        <f>CONCATENATE(BH18," OV")</f>
        <v>2030 OV</v>
      </c>
      <c r="BJ55" s="261"/>
      <c r="BL55" s="196" t="str">
        <f>CONCATENATE(BL19," PV")</f>
        <v>2024 PV</v>
      </c>
      <c r="BM55" s="196" t="str">
        <f>CONCATENATE(BL19," OV")</f>
        <v>2024 OV</v>
      </c>
      <c r="BN55" s="432"/>
      <c r="BO55" s="433"/>
      <c r="BP55" s="342"/>
    </row>
    <row r="56" spans="1:68" x14ac:dyDescent="0.25">
      <c r="A56" s="260"/>
      <c r="B56" s="879"/>
      <c r="C56" s="879"/>
      <c r="D56" s="885" t="s">
        <v>287</v>
      </c>
      <c r="E56" s="885"/>
      <c r="F56" s="885"/>
      <c r="G56" s="885"/>
      <c r="H56" s="885"/>
      <c r="I56" s="358">
        <f>IF(OR(I16="Neaktivní",Postup!$M$61=0),0,IF(Výpočty!H53=0,0,IF($E47=0,0,(I57-$E47)/$E47)))</f>
        <v>0</v>
      </c>
      <c r="J56" s="358">
        <f>IF(OR(I16="Neaktivní",Postup!$M$61=0),0,IF(Výpočty!H53=0,0,IF($F49+$F51=0,0,(J57-($F49+$F51))/($F49+$F51))))</f>
        <v>0</v>
      </c>
      <c r="K56" s="886"/>
      <c r="L56" s="887"/>
      <c r="M56" s="887"/>
      <c r="N56" s="888"/>
      <c r="O56" s="358">
        <f>IF(Postup!$M$61=0,0,IF($E47=0,0,(O47-$E47)/$E47))</f>
        <v>0</v>
      </c>
      <c r="P56" s="358">
        <f>IF(Postup!$M$61=0,0,IF(($F49+$F51)=0,0,((P49+P51)-($F49+$F51))/($F49+$F51)))</f>
        <v>0</v>
      </c>
      <c r="Q56" s="358">
        <f>IF(OR(Q16="Neaktivní",Postup!$M$61=0),0,IF(Výpočty!I53=0,0,IF($E47=0,0,(Q57-$E47)/$E47)))</f>
        <v>0</v>
      </c>
      <c r="R56" s="358">
        <f>IF(OR(Q16="Neaktivní",Postup!$M$61=0),0,IF(Výpočty!I53=0,0,IF($F49+$F51=0,0,(R57-($F49+$F51))/($F49+$F51))))</f>
        <v>0</v>
      </c>
      <c r="S56" s="359"/>
      <c r="T56" s="358">
        <f>IF(Postup!$M$61=0,0,IF($E47=0,0,(T47-$E47)/$E47))</f>
        <v>0</v>
      </c>
      <c r="U56" s="358">
        <f>IF(Postup!$M$61=0,0,IF(($F49+$F51)=0,0,((U49+U51)-($F49+$F51))/($F49+$F51)))</f>
        <v>0</v>
      </c>
      <c r="V56" s="358">
        <f>IF(OR(V16="Neaktivní",Postup!$M$61=0),0,IF(Výpočty!J53=0,0,IF($E47=0,0,(V57-$E47)/$E47)))</f>
        <v>0</v>
      </c>
      <c r="W56" s="358">
        <f>IF(OR(V16="Neaktivní",Postup!$M$61=0),0,IF(Výpočty!J53=0,0,IF($F49+$F51=0,0,(W57-($F49+$F51))/($F49+$F51))))</f>
        <v>0</v>
      </c>
      <c r="X56" s="359"/>
      <c r="Y56" s="358">
        <f>IF(Postup!$M$61=0,0,IF($E47=0,0,(Y47-$E47)/$E47))</f>
        <v>0</v>
      </c>
      <c r="Z56" s="358">
        <f>IF(Postup!$M$61=0,0,IF(($F49+$F51)=0,0,((Z49+Z51)-($F49+$F51))/($F49+$F51)))</f>
        <v>0</v>
      </c>
      <c r="AA56" s="358">
        <f>IF(OR(AA16="Neaktivní",Postup!$M$61=0),0,IF(Výpočty!K53=0,0,IF($E47=0,0,(AA57-$E47)/$E47)))</f>
        <v>0</v>
      </c>
      <c r="AB56" s="358">
        <f>IF(OR(AA16="Neaktivní",Postup!$M$61=0),0,IF(Výpočty!K53=0,0,IF($F49+$F51=0,0,(AB57-($F49+$F51))/($F49+$F51))))</f>
        <v>0</v>
      </c>
      <c r="AC56" s="359"/>
      <c r="AD56" s="358">
        <f>IF(Postup!$M$61=0,0,IF($E47=0,0,(AD47-$E47)/$E47))</f>
        <v>0</v>
      </c>
      <c r="AE56" s="358">
        <f>IF(Postup!$M$61=0,0,IF(($F49+$F51)=0,0,((AE49+AE51)-($F49+$F51))/($F49+$F51)))</f>
        <v>0</v>
      </c>
      <c r="AF56" s="358">
        <f>IF(OR(AF16="Neaktivní",Postup!$M$61=0),0,IF(Výpočty!L53=0,0,IF($E47=0,0,(AF57-$E47)/$E47)))</f>
        <v>0</v>
      </c>
      <c r="AG56" s="358">
        <f>IF(OR(AF16="Neaktivní",Postup!$M$61=0),0,IF(Výpočty!L53=0,0,IF($F49+$F51=0,0,(AG57-($F49+$F51))/($F49+$F51))))</f>
        <v>0</v>
      </c>
      <c r="AH56" s="359"/>
      <c r="AI56" s="358">
        <f>IF(Postup!$M$61=0,0,IF($E47=0,0,(AI47-$E47)/$E47))</f>
        <v>0</v>
      </c>
      <c r="AJ56" s="358">
        <f>IF(Postup!$M$61=0,0,IF(($F49+$F51)=0,0,((AJ49+AJ51)-($F49+$F51))/($F49+$F51)))</f>
        <v>0</v>
      </c>
      <c r="AK56" s="358">
        <f>IF(OR(AK16="Neaktivní",Postup!$M$61=0),0,IF(Výpočty!M53=0,0,IF($E47=0,0,(AK57-$E47)/$E47)))</f>
        <v>0</v>
      </c>
      <c r="AL56" s="358">
        <f>IF(OR(AK16="Neaktivní",Postup!$M$61=0),0,IF(Výpočty!M53=0,0,IF($F49+$F51=0,0,(AL57-($F49+$F51))/($F49+$F51))))</f>
        <v>0</v>
      </c>
      <c r="AM56" s="359"/>
      <c r="AN56" s="358">
        <f>IF(Postup!$M$61=0,0,IF($E47=0,0,(AN47-$E47)/$E47))</f>
        <v>0</v>
      </c>
      <c r="AO56" s="358">
        <f>IF(Postup!$M$61=0,0,IF(($F49+$F51)=0,0,((AO49+AO51)-($F49+$F51))/($F49+$F51)))</f>
        <v>0</v>
      </c>
      <c r="AP56" s="358">
        <f>IF(OR(AP16="Neaktivní",Postup!$M$61=0),0,IF(Výpočty!N53=0,0,IF($E47=0,0,(AP57-$E47)/$E47)))</f>
        <v>0</v>
      </c>
      <c r="AQ56" s="358">
        <f>IF(OR(AP16="Neaktivní",Postup!$M$61=0),0,IF(Výpočty!N53=0,0,IF($F49+$F51=0,0,(AQ57-($F49+$F51))/($F49+$F51))))</f>
        <v>0</v>
      </c>
      <c r="AR56" s="359"/>
      <c r="AS56" s="358">
        <f>IF(Postup!$M$61=0,0,IF($E47=0,0,(AS47-$E47)/$E47))</f>
        <v>0</v>
      </c>
      <c r="AT56" s="358">
        <f>IF(Postup!$M$61=0,0,IF(($F49+$F51)=0,0,((AT49+AT51)-($F49+$F51))/($F49+$F51)))</f>
        <v>0</v>
      </c>
      <c r="AU56" s="358">
        <f>IF(OR(AU16="Neaktivní",Postup!$M$61=0),0,IF(Výpočty!O53=0,0,IF($E47=0,0,(AU57-$E47)/$E47)))</f>
        <v>0</v>
      </c>
      <c r="AV56" s="358">
        <f>IF(OR(AU16="Neaktivní",Postup!$M$61=0),0,IF(Výpočty!O53=0,0,IF($F49+$F51=0,0,(AV57-($F49+$F51))/($F49+$F51))))</f>
        <v>0</v>
      </c>
      <c r="AW56" s="359"/>
      <c r="AX56" s="358">
        <f>IF(Postup!$M$61=0,0,IF($E47=0,0,(AX47-$E47)/$E47))</f>
        <v>0</v>
      </c>
      <c r="AY56" s="358">
        <f>IF(Postup!$M$61=0,0,IF(($F49+$F51)=0,0,((AY49+AY51)-($F49+$F51))/($F49+$F51)))</f>
        <v>0</v>
      </c>
      <c r="AZ56" s="358">
        <f>IF(OR(AZ16="Neaktivní",Postup!$M$61=0),0,IF(Výpočty!P53=0,0,IF($E47=0,0,(AZ57-$E47)/$E47)))</f>
        <v>0</v>
      </c>
      <c r="BA56" s="358">
        <f>IF(OR(AZ16="Neaktivní",Postup!$M$61=0),0,IF(Výpočty!P53=0,0,IF($F49+$F51=0,0,(BA57-($F49+$F51))/($F49+$F51))))</f>
        <v>0</v>
      </c>
      <c r="BB56" s="359"/>
      <c r="BC56" s="358">
        <f>IF(Postup!$M$61=0,0,IF($E47=0,0,(BC47-$E47)/$E47))</f>
        <v>0</v>
      </c>
      <c r="BD56" s="358">
        <f>IF(Postup!$M$61=0,0,IF(($F49+$F51)=0,0,((BD49+BD51)-($F49+$F51))/($F49+$F51)))</f>
        <v>0</v>
      </c>
      <c r="BE56" s="358">
        <f>IF(OR(BE16="Neaktivní",Postup!$M$61=0),0,IF(Výpočty!Q53=0,0,IF($E47=0,0,(BE57-$E47)/$E47)))</f>
        <v>0</v>
      </c>
      <c r="BF56" s="358">
        <f>IF(OR(BE16="Neaktivní",Postup!$M$61=0),0,IF(Výpočty!Q53=0,0,IF($F49+$F51=0,0,(BF57-($F49+$F51))/($F49+$F51))))</f>
        <v>0</v>
      </c>
      <c r="BG56" s="359"/>
      <c r="BH56" s="358">
        <f>IF(Postup!$M$61=0,0,IF($E47=0,0,(BH47-$E47)/$E47))</f>
        <v>0</v>
      </c>
      <c r="BI56" s="358">
        <f>IF(Postup!$M$61=0,0,IF(($F49+$F51)=0,0,((BI49+BI51)-($F49+$F51))/($F49+$F51)))</f>
        <v>0</v>
      </c>
      <c r="BJ56" s="358">
        <f>IF(OR(BJ16="Neaktivní",Postup!$M$61=0),0,IF(Výpočty!R53=0,0,IF($E47=0,0,(BJ57-$E47)/$E47)))</f>
        <v>0</v>
      </c>
      <c r="BK56" s="358">
        <f>IF(OR(BJ16="Neaktivní",Postup!$M$61=0),0,IF(Výpočty!R53=0,0,IF($F49+$F51=0,0,(BK57-($F49+$F51))/($F49+$F51))))</f>
        <v>0</v>
      </c>
      <c r="BL56" s="260"/>
      <c r="BM56" s="260"/>
      <c r="BN56" s="422"/>
      <c r="BO56" s="422"/>
      <c r="BP56" s="422"/>
    </row>
    <row r="57" spans="1:68" x14ac:dyDescent="0.25">
      <c r="A57" s="260"/>
      <c r="B57" s="107"/>
      <c r="C57" s="52"/>
      <c r="D57" s="885" t="s">
        <v>288</v>
      </c>
      <c r="E57" s="885"/>
      <c r="F57" s="885"/>
      <c r="G57" s="885"/>
      <c r="H57" s="885"/>
      <c r="I57" s="472" t="str">
        <f>IF(OR(I16="Neaktivní",Výpočty!H53=0),"-",I47/Výpočty!H53)</f>
        <v>-</v>
      </c>
      <c r="J57" s="472" t="str">
        <f>IF(OR(I16="Neaktivní",Výpočty!H53=0),"-",(J49+J51)/Výpočty!H53)</f>
        <v>-</v>
      </c>
      <c r="K57" s="905"/>
      <c r="L57" s="906"/>
      <c r="M57" s="906"/>
      <c r="N57" s="906"/>
      <c r="O57" s="906"/>
      <c r="P57" s="907"/>
      <c r="Q57" s="472" t="str">
        <f>IF(OR(Q16="Neaktivní",Výpočty!I53=0),"-",Q47/Výpočty!I53)</f>
        <v>-</v>
      </c>
      <c r="R57" s="472" t="str">
        <f>IF(OR(Q16="Neaktivní",Výpočty!I53=0),"-",(R49+R51)/Výpočty!I53)</f>
        <v>-</v>
      </c>
      <c r="S57" s="908"/>
      <c r="T57" s="909"/>
      <c r="U57" s="910"/>
      <c r="V57" s="472" t="str">
        <f>IF(OR(V16="Neaktivní",Výpočty!J53=0),"-",V47/Výpočty!J53)</f>
        <v>-</v>
      </c>
      <c r="W57" s="472" t="str">
        <f>IF(OR(V16="Neaktivní",Výpočty!J53=0),"-",(W49+W51)/Výpočty!J53)</f>
        <v>-</v>
      </c>
      <c r="X57" s="912"/>
      <c r="Y57" s="913"/>
      <c r="Z57" s="914"/>
      <c r="AA57" s="472" t="str">
        <f>IF(OR(AA16="Neaktivní",Výpočty!K53=0),"-",AA47/Výpočty!K53)</f>
        <v>-</v>
      </c>
      <c r="AB57" s="472" t="str">
        <f>IF(OR(AA16="Neaktivní",Výpočty!K53=0),"-",(AB49+AB51)/Výpočty!K53)</f>
        <v>-</v>
      </c>
      <c r="AC57" s="912"/>
      <c r="AD57" s="913"/>
      <c r="AE57" s="914"/>
      <c r="AF57" s="472" t="str">
        <f>IF(OR(AF16="Neaktivní",Výpočty!L53=0),"-",AF47/Výpočty!L53)</f>
        <v>-</v>
      </c>
      <c r="AG57" s="472" t="str">
        <f>IF(OR(AF16="Neaktivní",Výpočty!L53=0),"-",(AG49+AG51)/Výpočty!L53)</f>
        <v>-</v>
      </c>
      <c r="AH57" s="912"/>
      <c r="AI57" s="913"/>
      <c r="AJ57" s="914"/>
      <c r="AK57" s="472" t="str">
        <f>IF(OR(AK16="Neaktivní",Výpočty!M53=0),"-",AK47/Výpočty!M53)</f>
        <v>-</v>
      </c>
      <c r="AL57" s="472" t="str">
        <f>IF(OR(AK16="Neaktivní",Výpočty!M53=0),"-",(AL49+AL51)/Výpočty!M53)</f>
        <v>-</v>
      </c>
      <c r="AM57" s="853"/>
      <c r="AN57" s="854"/>
      <c r="AO57" s="855"/>
      <c r="AP57" s="472" t="str">
        <f>IF(OR(AP16="Neaktivní",Výpočty!N53=0),"-",AP47/Výpočty!N53)</f>
        <v>-</v>
      </c>
      <c r="AQ57" s="472" t="str">
        <f>IF(OR(AP16="Neaktivní",Výpočty!N53=0),"-",(AQ49+AQ51)/Výpočty!N53)</f>
        <v>-</v>
      </c>
      <c r="AR57" s="853"/>
      <c r="AS57" s="854"/>
      <c r="AT57" s="855"/>
      <c r="AU57" s="472" t="str">
        <f>IF(OR(AU16="Neaktivní",Výpočty!O53=0),"-",AU47/Výpočty!O53)</f>
        <v>-</v>
      </c>
      <c r="AV57" s="472" t="str">
        <f>IF(OR(AU16="Neaktivní",Výpočty!O53=0),"-",(AV49+AV51)/Výpočty!O53)</f>
        <v>-</v>
      </c>
      <c r="AW57" s="853"/>
      <c r="AX57" s="854"/>
      <c r="AY57" s="855"/>
      <c r="AZ57" s="472" t="str">
        <f>IF(OR(AZ16="Neaktivní",Výpočty!P53=0),"-",AZ47/Výpočty!P53)</f>
        <v>-</v>
      </c>
      <c r="BA57" s="472" t="str">
        <f>IF(OR(AZ16="Neaktivní",Výpočty!P53=0),"-",(BA49+BA51)/Výpočty!P53)</f>
        <v>-</v>
      </c>
      <c r="BB57" s="853"/>
      <c r="BC57" s="854"/>
      <c r="BD57" s="855"/>
      <c r="BE57" s="472" t="str">
        <f>IF(OR(BE16="Neaktivní",Výpočty!Q53=0),"-",BE47/Výpočty!Q53)</f>
        <v>-</v>
      </c>
      <c r="BF57" s="472" t="str">
        <f>IF(OR(BE16="Neaktivní",Výpočty!Q53=0),"-",(BF49+BF51)/Výpočty!Q53)</f>
        <v>-</v>
      </c>
      <c r="BG57" s="853"/>
      <c r="BH57" s="854"/>
      <c r="BI57" s="855"/>
      <c r="BJ57" s="472" t="str">
        <f>IF(OR(BJ16="Neaktivní",Výpočty!R53=0),"-",BJ47/Výpočty!R53)</f>
        <v>-</v>
      </c>
      <c r="BK57" s="472" t="str">
        <f>IF(OR(BJ16="Neaktivní",Výpočty!R53=0),"-",(BK49+BK51)/Výpočty!R53)</f>
        <v>-</v>
      </c>
      <c r="BL57" s="367"/>
      <c r="BM57" s="367"/>
      <c r="BN57" s="367"/>
      <c r="BO57" s="184"/>
      <c r="BP57" s="184"/>
    </row>
    <row r="58" spans="1:68" x14ac:dyDescent="0.25">
      <c r="A58" s="260"/>
      <c r="B58" s="107"/>
      <c r="C58" s="52"/>
      <c r="D58" s="108"/>
      <c r="E58" s="109"/>
      <c r="F58" s="109"/>
      <c r="G58" s="109"/>
      <c r="H58" s="295"/>
      <c r="I58" s="357"/>
      <c r="J58" s="357"/>
      <c r="K58" s="110"/>
      <c r="L58" s="110"/>
      <c r="M58" s="110"/>
      <c r="N58" s="111"/>
      <c r="Q58" s="357"/>
      <c r="R58" s="357"/>
      <c r="S58" s="354"/>
      <c r="T58" s="355"/>
      <c r="U58" s="355"/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  <c r="AF58" s="355"/>
      <c r="AG58" s="355"/>
      <c r="AH58" s="355"/>
      <c r="AI58" s="355"/>
      <c r="AJ58" s="356"/>
      <c r="AK58" s="356"/>
      <c r="AL58" s="356"/>
      <c r="AM58" s="356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6"/>
      <c r="AZ58" s="356"/>
      <c r="BA58" s="356"/>
      <c r="BB58" s="356"/>
      <c r="BC58" s="356"/>
      <c r="BD58" s="356"/>
      <c r="BE58" s="356"/>
      <c r="BF58" s="356"/>
      <c r="BG58" s="356"/>
      <c r="BH58" s="356"/>
      <c r="BI58" s="356"/>
      <c r="BJ58" s="356"/>
      <c r="BK58" s="356"/>
      <c r="BL58" s="356"/>
      <c r="BM58" s="356"/>
      <c r="BN58" s="367"/>
      <c r="BO58" s="367"/>
      <c r="BP58" s="367"/>
    </row>
    <row r="59" spans="1:68" ht="15" customHeight="1" thickBot="1" x14ac:dyDescent="0.3">
      <c r="A59" s="260"/>
      <c r="B59" s="361" t="s">
        <v>316</v>
      </c>
      <c r="C59" s="113"/>
      <c r="D59" s="113"/>
      <c r="E59" s="113"/>
      <c r="F59" s="113"/>
      <c r="G59" s="109"/>
      <c r="H59" s="109"/>
      <c r="K59" s="110"/>
      <c r="L59" s="110"/>
      <c r="M59" s="110"/>
      <c r="N59" s="111"/>
      <c r="O59" s="109"/>
      <c r="P59" s="112"/>
      <c r="Q59" s="262"/>
      <c r="R59" s="262"/>
      <c r="S59" s="26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BN59" s="342"/>
      <c r="BO59" s="342"/>
      <c r="BP59" s="342"/>
    </row>
    <row r="60" spans="1:68" ht="22.5" customHeight="1" x14ac:dyDescent="0.25">
      <c r="A60" s="260"/>
      <c r="B60" s="726"/>
      <c r="C60" s="876"/>
      <c r="D60" s="874" t="s">
        <v>154</v>
      </c>
      <c r="E60" s="814">
        <f>E18</f>
        <v>2020</v>
      </c>
      <c r="F60" s="815"/>
      <c r="G60" s="872" t="s">
        <v>214</v>
      </c>
      <c r="H60" s="873"/>
      <c r="I60" s="797" t="str">
        <f>CONCATENATE("Aktualizace ",E60)</f>
        <v>Aktualizace 2020</v>
      </c>
      <c r="J60" s="798"/>
      <c r="K60" s="867"/>
      <c r="L60" s="868"/>
      <c r="M60" s="868"/>
      <c r="N60" s="869"/>
      <c r="O60" s="821">
        <f>O18</f>
        <v>2021</v>
      </c>
      <c r="P60" s="822"/>
      <c r="Q60" s="797" t="str">
        <f>CONCATENATE("Aktualizace ",O60)</f>
        <v>Aktualizace 2021</v>
      </c>
      <c r="R60" s="798"/>
      <c r="S60" s="262"/>
      <c r="T60" s="821">
        <f>T18</f>
        <v>2022</v>
      </c>
      <c r="U60" s="822"/>
      <c r="V60" s="797" t="str">
        <f>CONCATENATE("Aktualizace ",T60)</f>
        <v>Aktualizace 2022</v>
      </c>
      <c r="W60" s="798"/>
      <c r="X60" s="262"/>
      <c r="Y60" s="821">
        <f>Y18</f>
        <v>2023</v>
      </c>
      <c r="Z60" s="822"/>
      <c r="AA60" s="797" t="str">
        <f>CONCATENATE("Aktualizace ",Y60)</f>
        <v>Aktualizace 2023</v>
      </c>
      <c r="AB60" s="798"/>
      <c r="AC60" s="262"/>
      <c r="AD60" s="821">
        <f>AD18</f>
        <v>2024</v>
      </c>
      <c r="AE60" s="822"/>
      <c r="AF60" s="797" t="str">
        <f>CONCATENATE("Aktualizace ",AD60)</f>
        <v>Aktualizace 2024</v>
      </c>
      <c r="AG60" s="798"/>
      <c r="AH60" s="262"/>
      <c r="AI60" s="821">
        <f>AI18</f>
        <v>2025</v>
      </c>
      <c r="AJ60" s="822"/>
      <c r="AK60" s="797" t="str">
        <f>CONCATENATE("Aktualizace ",AI60)</f>
        <v>Aktualizace 2025</v>
      </c>
      <c r="AL60" s="798"/>
      <c r="AM60" s="262"/>
      <c r="AN60" s="821">
        <f>AN18</f>
        <v>2026</v>
      </c>
      <c r="AO60" s="822"/>
      <c r="AP60" s="797" t="str">
        <f>CONCATENATE("Aktualizace ",AN60)</f>
        <v>Aktualizace 2026</v>
      </c>
      <c r="AQ60" s="798"/>
      <c r="AR60" s="262"/>
      <c r="AS60" s="821">
        <f>AS18</f>
        <v>2027</v>
      </c>
      <c r="AT60" s="822"/>
      <c r="AU60" s="797" t="str">
        <f>CONCATENATE("Aktualizace ",AS60)</f>
        <v>Aktualizace 2027</v>
      </c>
      <c r="AV60" s="798"/>
      <c r="AW60" s="262"/>
      <c r="AX60" s="821">
        <f>AX18</f>
        <v>2028</v>
      </c>
      <c r="AY60" s="822"/>
      <c r="AZ60" s="797" t="str">
        <f>CONCATENATE("Aktualizace ",AX60)</f>
        <v>Aktualizace 2028</v>
      </c>
      <c r="BA60" s="798"/>
      <c r="BB60" s="262"/>
      <c r="BC60" s="821">
        <f>BC18</f>
        <v>2029</v>
      </c>
      <c r="BD60" s="822"/>
      <c r="BE60" s="797" t="str">
        <f>CONCATENATE("Aktualizace ",BC60)</f>
        <v>Aktualizace 2029</v>
      </c>
      <c r="BF60" s="798"/>
      <c r="BG60" s="262"/>
      <c r="BH60" s="821">
        <f>BH18</f>
        <v>2030</v>
      </c>
      <c r="BI60" s="822"/>
      <c r="BJ60" s="797" t="str">
        <f>CONCATENATE("Aktualizace ",BH60)</f>
        <v>Aktualizace 2030</v>
      </c>
      <c r="BK60" s="844"/>
      <c r="BL60" s="808" t="s">
        <v>245</v>
      </c>
      <c r="BM60" s="809"/>
      <c r="BN60" s="434"/>
      <c r="BO60" s="436"/>
      <c r="BP60" s="436"/>
    </row>
    <row r="61" spans="1:68" ht="15.75" thickBot="1" x14ac:dyDescent="0.3">
      <c r="A61" s="260"/>
      <c r="B61" s="877"/>
      <c r="C61" s="878"/>
      <c r="D61" s="875"/>
      <c r="E61" s="280" t="s">
        <v>3</v>
      </c>
      <c r="F61" s="281" t="s">
        <v>4</v>
      </c>
      <c r="G61" s="280" t="s">
        <v>3</v>
      </c>
      <c r="H61" s="281" t="s">
        <v>4</v>
      </c>
      <c r="I61" s="280" t="s">
        <v>3</v>
      </c>
      <c r="J61" s="281" t="s">
        <v>4</v>
      </c>
      <c r="K61" s="790"/>
      <c r="L61" s="791"/>
      <c r="M61" s="791"/>
      <c r="N61" s="870"/>
      <c r="O61" s="280" t="s">
        <v>3</v>
      </c>
      <c r="P61" s="281" t="s">
        <v>4</v>
      </c>
      <c r="Q61" s="280" t="s">
        <v>3</v>
      </c>
      <c r="R61" s="281" t="s">
        <v>4</v>
      </c>
      <c r="S61" s="262"/>
      <c r="T61" s="280" t="s">
        <v>3</v>
      </c>
      <c r="U61" s="281" t="s">
        <v>4</v>
      </c>
      <c r="V61" s="280" t="s">
        <v>3</v>
      </c>
      <c r="W61" s="281" t="s">
        <v>4</v>
      </c>
      <c r="X61" s="262"/>
      <c r="Y61" s="280" t="s">
        <v>3</v>
      </c>
      <c r="Z61" s="281" t="s">
        <v>4</v>
      </c>
      <c r="AA61" s="280" t="s">
        <v>3</v>
      </c>
      <c r="AB61" s="281" t="s">
        <v>4</v>
      </c>
      <c r="AC61" s="262"/>
      <c r="AD61" s="280" t="s">
        <v>3</v>
      </c>
      <c r="AE61" s="281" t="s">
        <v>4</v>
      </c>
      <c r="AF61" s="280" t="s">
        <v>3</v>
      </c>
      <c r="AG61" s="281" t="s">
        <v>4</v>
      </c>
      <c r="AH61" s="262"/>
      <c r="AI61" s="280" t="s">
        <v>3</v>
      </c>
      <c r="AJ61" s="281" t="s">
        <v>4</v>
      </c>
      <c r="AK61" s="280" t="s">
        <v>3</v>
      </c>
      <c r="AL61" s="281" t="s">
        <v>4</v>
      </c>
      <c r="AM61" s="262"/>
      <c r="AN61" s="280" t="s">
        <v>3</v>
      </c>
      <c r="AO61" s="281" t="s">
        <v>4</v>
      </c>
      <c r="AP61" s="280" t="s">
        <v>3</v>
      </c>
      <c r="AQ61" s="281" t="s">
        <v>4</v>
      </c>
      <c r="AR61" s="262"/>
      <c r="AS61" s="280" t="s">
        <v>3</v>
      </c>
      <c r="AT61" s="281" t="s">
        <v>4</v>
      </c>
      <c r="AU61" s="280" t="s">
        <v>3</v>
      </c>
      <c r="AV61" s="281" t="s">
        <v>4</v>
      </c>
      <c r="AW61" s="262"/>
      <c r="AX61" s="280" t="s">
        <v>3</v>
      </c>
      <c r="AY61" s="281" t="s">
        <v>4</v>
      </c>
      <c r="AZ61" s="280" t="s">
        <v>3</v>
      </c>
      <c r="BA61" s="281" t="s">
        <v>4</v>
      </c>
      <c r="BB61" s="262"/>
      <c r="BC61" s="280" t="s">
        <v>3</v>
      </c>
      <c r="BD61" s="281" t="s">
        <v>4</v>
      </c>
      <c r="BE61" s="280" t="s">
        <v>3</v>
      </c>
      <c r="BF61" s="281" t="s">
        <v>4</v>
      </c>
      <c r="BG61" s="262"/>
      <c r="BH61" s="280" t="s">
        <v>3</v>
      </c>
      <c r="BI61" s="281" t="s">
        <v>4</v>
      </c>
      <c r="BJ61" s="280" t="s">
        <v>3</v>
      </c>
      <c r="BK61" s="409" t="s">
        <v>4</v>
      </c>
      <c r="BL61" s="280" t="s">
        <v>3</v>
      </c>
      <c r="BM61" s="281" t="s">
        <v>4</v>
      </c>
      <c r="BN61" s="429"/>
      <c r="BO61" s="429"/>
      <c r="BP61" s="429"/>
    </row>
    <row r="62" spans="1:68" x14ac:dyDescent="0.25">
      <c r="A62" s="260"/>
      <c r="B62" s="38" t="s">
        <v>8</v>
      </c>
      <c r="C62" s="41" t="s">
        <v>140</v>
      </c>
      <c r="D62" s="38" t="s">
        <v>155</v>
      </c>
      <c r="E62" s="583">
        <f>Nabídka!P6</f>
        <v>0</v>
      </c>
      <c r="F62" s="584">
        <f>Nabídka!Q6</f>
        <v>0</v>
      </c>
      <c r="G62" s="382">
        <f>IF(AND(DAY(Postup!$H$24)=1,MONTH(Postup!$H$24)=1),0,E62*Výpočty!$E$17)</f>
        <v>0</v>
      </c>
      <c r="H62" s="383">
        <f>IF(AND(DAY(Postup!$H$24)=1,MONTH(Postup!$H$24)=1),0,F62*Výpočty!$E$17)</f>
        <v>0</v>
      </c>
      <c r="I62" s="382">
        <f>IF(I$16="Neaktivní",0,IF(ISBLANK($J$17),0,E62*Výpočty!$H$53))</f>
        <v>0</v>
      </c>
      <c r="J62" s="383">
        <f>IF(I$16="Neaktivní",0,IF(ISBLANK($J$17),0,F62*Výpočty!$H$53))</f>
        <v>0</v>
      </c>
      <c r="K62" s="792"/>
      <c r="L62" s="793"/>
      <c r="M62" s="793"/>
      <c r="N62" s="807"/>
      <c r="O62" s="586">
        <f>Nabídka!P6</f>
        <v>0</v>
      </c>
      <c r="P62" s="587">
        <f>Nabídka!Q6</f>
        <v>0</v>
      </c>
      <c r="Q62" s="382">
        <f>IF(Q$16="Neaktivní",0,IF(ISBLANK($R$17),0,O62*Výpočty!$I$53))</f>
        <v>0</v>
      </c>
      <c r="R62" s="383">
        <f>IF(Q$16="Neaktivní",0,IF(ISBLANK($R$17),0,P62*Výpočty!$I$53))</f>
        <v>0</v>
      </c>
      <c r="S62" s="263"/>
      <c r="T62" s="586">
        <f>Nabídka!P6</f>
        <v>0</v>
      </c>
      <c r="U62" s="587">
        <f>Nabídka!Q6</f>
        <v>0</v>
      </c>
      <c r="V62" s="382">
        <f>IF(V$16="Neaktivní",0,IF(ISBLANK($W$17),0,T62*Výpočty!$J$53))</f>
        <v>0</v>
      </c>
      <c r="W62" s="383">
        <f>IF(V$16="Neaktivní",0,IF(ISBLANK($W$17),0,U62*Výpočty!$J$53))</f>
        <v>0</v>
      </c>
      <c r="X62" s="263"/>
      <c r="Y62" s="586">
        <f>Nabídka!P6</f>
        <v>0</v>
      </c>
      <c r="Z62" s="587">
        <f>Nabídka!Q6</f>
        <v>0</v>
      </c>
      <c r="AA62" s="382">
        <f>IF(AA$16="Neaktivní",0,IF(ISBLANK($AB$17),0,Y62*Výpočty!$K$53))</f>
        <v>0</v>
      </c>
      <c r="AB62" s="383">
        <f>IF(AA$16="Neaktivní",0,IF(ISBLANK($AB$17),0,Z62*Výpočty!$K$53))</f>
        <v>0</v>
      </c>
      <c r="AC62" s="263"/>
      <c r="AD62" s="586">
        <f>Nabídka!P6</f>
        <v>0</v>
      </c>
      <c r="AE62" s="587">
        <f>Nabídka!Q6</f>
        <v>0</v>
      </c>
      <c r="AF62" s="382">
        <f>IF(AF$16="Neaktivní",0,IF(ISBLANK($AG$17),0,AD62*Výpočty!$L$53))</f>
        <v>0</v>
      </c>
      <c r="AG62" s="383">
        <f>IF(AF$16="Neaktivní",0,IF(ISBLANK($AG$17),0,AE62*Výpočty!$L$53))</f>
        <v>0</v>
      </c>
      <c r="AH62" s="263"/>
      <c r="AI62" s="586">
        <f>Nabídka!P6</f>
        <v>0</v>
      </c>
      <c r="AJ62" s="587">
        <f>Nabídka!Q6</f>
        <v>0</v>
      </c>
      <c r="AK62" s="382">
        <f>IF(AK$16="Neaktivní",0,IF(ISBLANK($AG$17),0,AI62*Výpočty!$M$53))</f>
        <v>0</v>
      </c>
      <c r="AL62" s="383">
        <f>IF(AK$16="Neaktivní",0,IF(ISBLANK($AG$17),0,AJ62*Výpočty!$M$53))</f>
        <v>0</v>
      </c>
      <c r="AM62" s="263"/>
      <c r="AN62" s="586">
        <f>Nabídka!P6</f>
        <v>0</v>
      </c>
      <c r="AO62" s="587">
        <f>Nabídka!Q6</f>
        <v>0</v>
      </c>
      <c r="AP62" s="382">
        <f>IF(AP$16="Neaktivní",0,IF(ISBLANK($AQ$17),0,AN62*Výpočty!$N$53))</f>
        <v>0</v>
      </c>
      <c r="AQ62" s="383">
        <f>IF(AP$16="Neaktivní",0,IF(ISBLANK($AQ$17),0,AO62*Výpočty!$N$53))</f>
        <v>0</v>
      </c>
      <c r="AR62" s="263"/>
      <c r="AS62" s="586">
        <f>Nabídka!P6</f>
        <v>0</v>
      </c>
      <c r="AT62" s="587">
        <f>Nabídka!Q6</f>
        <v>0</v>
      </c>
      <c r="AU62" s="382">
        <f>IF(AU$16="Neaktivní",0,IF(ISBLANK($AV$17),0,AS62*Výpočty!$O$53))</f>
        <v>0</v>
      </c>
      <c r="AV62" s="383">
        <f>IF(AU$16="Neaktivní",0,IF(ISBLANK($AV$17),0,AT62*Výpočty!$O$53))</f>
        <v>0</v>
      </c>
      <c r="AW62" s="263"/>
      <c r="AX62" s="586">
        <f>Nabídka!P6</f>
        <v>0</v>
      </c>
      <c r="AY62" s="587">
        <f>Nabídka!Q6</f>
        <v>0</v>
      </c>
      <c r="AZ62" s="382">
        <f>IF(AZ$16="Neaktivní",0,IF(ISBLANK($BA$17),0,AX62*Výpočty!$P$53))</f>
        <v>0</v>
      </c>
      <c r="BA62" s="383">
        <f>IF(AZ$16="Neaktivní",0,IF(ISBLANK($BA$17),0,AY62*Výpočty!$P$53))</f>
        <v>0</v>
      </c>
      <c r="BB62" s="263"/>
      <c r="BC62" s="586">
        <f>Nabídka!P6</f>
        <v>0</v>
      </c>
      <c r="BD62" s="587">
        <f>Nabídka!Q6</f>
        <v>0</v>
      </c>
      <c r="BE62" s="382">
        <f>IF(BE$16="Neaktivní",0,IF(ISBLANK($BF$17),0,BC62*Výpočty!$Q$53))</f>
        <v>0</v>
      </c>
      <c r="BF62" s="383">
        <f>IF(BE$16="Neaktivní",0,IF(ISBLANK($BF$17),0,BD62*Výpočty!$Q$53))</f>
        <v>0</v>
      </c>
      <c r="BG62" s="263"/>
      <c r="BH62" s="586">
        <f>Nabídka!P6</f>
        <v>0</v>
      </c>
      <c r="BI62" s="587">
        <f>Nabídka!Q6</f>
        <v>0</v>
      </c>
      <c r="BJ62" s="382">
        <f>IF(BJ$16="Neaktivní",0,IF(ISBLANK($BK$17),0,BH62*Výpočty!$R$53))</f>
        <v>0</v>
      </c>
      <c r="BK62" s="49">
        <f>IF(BJ$16="Neaktivní",0,IF(ISBLANK($BK$17),0,BI62*Výpočty!$R$53))</f>
        <v>0</v>
      </c>
      <c r="BL62" s="118">
        <f>IF(AND(DAY(Postup!$H$25)=31,MONTH(Postup!$H$25)=12),0,INDEX($E62:$BP62,MATCH($BL$55,$E$55:$BP$55,0))*Výpočty!$E$23)</f>
        <v>0</v>
      </c>
      <c r="BM62" s="119">
        <f>IF(AND(DAY(Postup!$H$25)=31,MONTH(Postup!$H$25)=12),0,INDEX($E62:$BP62,MATCH($BM$55,$E$55:$BP$55,0))*Výpočty!$E$23)</f>
        <v>0</v>
      </c>
      <c r="BN62" s="109"/>
      <c r="BO62" s="109"/>
      <c r="BP62" s="109"/>
    </row>
    <row r="63" spans="1:68" ht="29.25" customHeight="1" x14ac:dyDescent="0.25">
      <c r="A63" s="260"/>
      <c r="B63" s="114" t="s">
        <v>19</v>
      </c>
      <c r="C63" s="41" t="s">
        <v>141</v>
      </c>
      <c r="D63" s="38" t="s">
        <v>155</v>
      </c>
      <c r="E63" s="582">
        <f>Nabídka!P7</f>
        <v>0</v>
      </c>
      <c r="F63" s="582">
        <f>Nabídka!Q7</f>
        <v>0</v>
      </c>
      <c r="G63" s="382">
        <f>IF(AND(DAY(Postup!$H$24)=1,MONTH(Postup!$H$24)=1),0,E63*Výpočty!$E$17)</f>
        <v>0</v>
      </c>
      <c r="H63" s="383">
        <f>IF(AND(DAY(Postup!$H$24)=1,MONTH(Postup!$H$24)=1),0,F63*Výpočty!$E$17)</f>
        <v>0</v>
      </c>
      <c r="I63" s="382">
        <f>IF(I$16="Neaktivní",0,IF(ISBLANK($J$17),0,E63*Výpočty!$H$53))</f>
        <v>0</v>
      </c>
      <c r="J63" s="383">
        <f>IF(I$16="Neaktivní",0,IF(ISBLANK($J$17),0,F63*Výpočty!$H$53))</f>
        <v>0</v>
      </c>
      <c r="K63" s="792"/>
      <c r="L63" s="793"/>
      <c r="M63" s="793"/>
      <c r="N63" s="277" t="s">
        <v>243</v>
      </c>
      <c r="O63" s="582">
        <f>Nabídka!P7</f>
        <v>0</v>
      </c>
      <c r="P63" s="582">
        <f>Nabídka!Q7</f>
        <v>0</v>
      </c>
      <c r="Q63" s="382">
        <f>IF(Q$16="Neaktivní",0,IF(ISBLANK($R$17),0,O63*Výpočty!$I$53))</f>
        <v>0</v>
      </c>
      <c r="R63" s="383">
        <f>IF(Q$16="Neaktivní",0,IF(ISBLANK($R$17),0,P63*Výpočty!$I$53))</f>
        <v>0</v>
      </c>
      <c r="S63" s="277" t="s">
        <v>243</v>
      </c>
      <c r="T63" s="582">
        <f>Nabídka!P7</f>
        <v>0</v>
      </c>
      <c r="U63" s="582">
        <f>Nabídka!Q7</f>
        <v>0</v>
      </c>
      <c r="V63" s="382">
        <f>IF(V$16="Neaktivní",0,IF(ISBLANK($W$17),0,T63*Výpočty!$J$53))</f>
        <v>0</v>
      </c>
      <c r="W63" s="383">
        <f>IF(V$16="Neaktivní",0,IF(ISBLANK($W$17),0,U63*Výpočty!$J$53))</f>
        <v>0</v>
      </c>
      <c r="X63" s="277" t="s">
        <v>243</v>
      </c>
      <c r="Y63" s="582">
        <f>Nabídka!P7</f>
        <v>0</v>
      </c>
      <c r="Z63" s="582">
        <f>Nabídka!Q7</f>
        <v>0</v>
      </c>
      <c r="AA63" s="382">
        <f>IF(AA$16="Neaktivní",0,IF(ISBLANK($AB$17),0,Y63*Výpočty!$K$53))</f>
        <v>0</v>
      </c>
      <c r="AB63" s="383">
        <f>IF(AA$16="Neaktivní",0,IF(ISBLANK($AB$17),0,Z63*Výpočty!$K$53))</f>
        <v>0</v>
      </c>
      <c r="AC63" s="277" t="s">
        <v>243</v>
      </c>
      <c r="AD63" s="582">
        <f>Nabídka!P7</f>
        <v>0</v>
      </c>
      <c r="AE63" s="582">
        <f>Nabídka!Q7</f>
        <v>0</v>
      </c>
      <c r="AF63" s="382">
        <f>IF(AF$16="Neaktivní",0,IF(ISBLANK($AG$17),0,AD63*Výpočty!$L$53))</f>
        <v>0</v>
      </c>
      <c r="AG63" s="383">
        <f>IF(AF$16="Neaktivní",0,IF(ISBLANK($AG$17),0,AE63*Výpočty!$L$53))</f>
        <v>0</v>
      </c>
      <c r="AH63" s="277" t="s">
        <v>243</v>
      </c>
      <c r="AI63" s="588">
        <f>Nabídka!P7</f>
        <v>0</v>
      </c>
      <c r="AJ63" s="588">
        <f>Nabídka!Q7</f>
        <v>0</v>
      </c>
      <c r="AK63" s="382">
        <f>IF(AK$16="Neaktivní",0,IF(ISBLANK($AG$17),0,AI63*Výpočty!$M$53))</f>
        <v>0</v>
      </c>
      <c r="AL63" s="383">
        <f>IF(AK$16="Neaktivní",0,IF(ISBLANK($AG$17),0,AJ63*Výpočty!$M$53))</f>
        <v>0</v>
      </c>
      <c r="AM63" s="277" t="s">
        <v>243</v>
      </c>
      <c r="AN63" s="588">
        <f>Nabídka!P7</f>
        <v>0</v>
      </c>
      <c r="AO63" s="588">
        <f>Nabídka!Q7</f>
        <v>0</v>
      </c>
      <c r="AP63" s="382">
        <f>IF(AP$16="Neaktivní",0,IF(ISBLANK($AQ$17),0,AN63*Výpočty!$N$53))</f>
        <v>0</v>
      </c>
      <c r="AQ63" s="383">
        <f>IF(AP$16="Neaktivní",0,IF(ISBLANK($AQ$17),0,AO63*Výpočty!$N$53))</f>
        <v>0</v>
      </c>
      <c r="AR63" s="277" t="s">
        <v>243</v>
      </c>
      <c r="AS63" s="588">
        <f>Nabídka!P7</f>
        <v>0</v>
      </c>
      <c r="AT63" s="588">
        <f>Nabídka!Q7</f>
        <v>0</v>
      </c>
      <c r="AU63" s="382">
        <f>IF(AU$16="Neaktivní",0,IF(ISBLANK($AV$17),0,AS63*Výpočty!$O$53))</f>
        <v>0</v>
      </c>
      <c r="AV63" s="383">
        <f>IF(AU$16="Neaktivní",0,IF(ISBLANK($AV$17),0,AT63*Výpočty!$O$53))</f>
        <v>0</v>
      </c>
      <c r="AW63" s="277" t="s">
        <v>243</v>
      </c>
      <c r="AX63" s="588">
        <f>Nabídka!P7</f>
        <v>0</v>
      </c>
      <c r="AY63" s="588">
        <f>Nabídka!Q7</f>
        <v>0</v>
      </c>
      <c r="AZ63" s="382">
        <f>IF(AZ$16="Neaktivní",0,IF(ISBLANK($BA$17),0,AX63*Výpočty!$P$53))</f>
        <v>0</v>
      </c>
      <c r="BA63" s="383">
        <f>IF(AZ$16="Neaktivní",0,IF(ISBLANK($BA$17),0,AY63*Výpočty!$P$53))</f>
        <v>0</v>
      </c>
      <c r="BB63" s="277" t="s">
        <v>243</v>
      </c>
      <c r="BC63" s="588">
        <f>Nabídka!P7</f>
        <v>0</v>
      </c>
      <c r="BD63" s="588">
        <f>Nabídka!Q7</f>
        <v>0</v>
      </c>
      <c r="BE63" s="382">
        <f>IF(BE$16="Neaktivní",0,IF(ISBLANK($BF$17),0,BC63*Výpočty!$Q$53))</f>
        <v>0</v>
      </c>
      <c r="BF63" s="383">
        <f>IF(BE$16="Neaktivní",0,IF(ISBLANK($BF$17),0,BD63*Výpočty!$Q$53))</f>
        <v>0</v>
      </c>
      <c r="BG63" s="277" t="s">
        <v>243</v>
      </c>
      <c r="BH63" s="588">
        <f>Nabídka!P7</f>
        <v>0</v>
      </c>
      <c r="BI63" s="588">
        <f>Nabídka!Q7</f>
        <v>0</v>
      </c>
      <c r="BJ63" s="382">
        <f>IF(BJ$16="Neaktivní",0,IF(ISBLANK($BK$17),0,BH63*Výpočty!$R$53))</f>
        <v>0</v>
      </c>
      <c r="BK63" s="49">
        <f>IF(BJ$16="Neaktivní",0,IF(ISBLANK($BK$17),0,BI63*Výpočty!$R$53))</f>
        <v>0</v>
      </c>
      <c r="BL63" s="118">
        <f>IF(AND(DAY(Postup!$H$25)=31,MONTH(Postup!$H$25)=12),0,INDEX($E63:$BP63,MATCH($BL$55,$E$55:$BP$55,0))*Výpočty!$E$23)</f>
        <v>0</v>
      </c>
      <c r="BM63" s="119">
        <f>IF(AND(DAY(Postup!$H$25)=31,MONTH(Postup!$H$25)=12),0,INDEX($E63:$BP63,MATCH($BM$55,$E$55:$BP$55,0))*Výpočty!$E$23)</f>
        <v>0</v>
      </c>
      <c r="BN63" s="109"/>
      <c r="BO63" s="109"/>
      <c r="BP63" s="109"/>
    </row>
    <row r="64" spans="1:68" ht="19.5" x14ac:dyDescent="0.25">
      <c r="A64" s="260"/>
      <c r="B64" s="88" t="s">
        <v>25</v>
      </c>
      <c r="C64" s="212" t="s">
        <v>142</v>
      </c>
      <c r="D64" s="203" t="s">
        <v>155</v>
      </c>
      <c r="E64" s="213">
        <f t="shared" ref="E64:J64" si="52">E65-E67+E69</f>
        <v>0</v>
      </c>
      <c r="F64" s="214">
        <f t="shared" ca="1" si="52"/>
        <v>110.8379172558283</v>
      </c>
      <c r="G64" s="275">
        <f t="shared" si="52"/>
        <v>0</v>
      </c>
      <c r="H64" s="214">
        <f t="shared" si="52"/>
        <v>0</v>
      </c>
      <c r="I64" s="275">
        <f t="shared" si="52"/>
        <v>0</v>
      </c>
      <c r="J64" s="214">
        <f t="shared" si="52"/>
        <v>0</v>
      </c>
      <c r="K64" s="792"/>
      <c r="L64" s="793"/>
      <c r="M64" s="793"/>
      <c r="N64" s="807"/>
      <c r="O64" s="275">
        <f>O65-O67+O69</f>
        <v>0</v>
      </c>
      <c r="P64" s="214">
        <f ca="1">P65-P67+P69</f>
        <v>110.8379172558283</v>
      </c>
      <c r="Q64" s="275">
        <f>Q65-Q67+Q69</f>
        <v>0</v>
      </c>
      <c r="R64" s="214">
        <f>R65-R67+R69</f>
        <v>0</v>
      </c>
      <c r="S64" s="264"/>
      <c r="T64" s="275">
        <f>T65-T67+T69</f>
        <v>0</v>
      </c>
      <c r="U64" s="214">
        <f ca="1">U65-U67+U69</f>
        <v>110.8379172558283</v>
      </c>
      <c r="V64" s="275">
        <f>V65-V67+V69</f>
        <v>0</v>
      </c>
      <c r="W64" s="214">
        <f>W65-W67+W69</f>
        <v>0</v>
      </c>
      <c r="X64" s="264"/>
      <c r="Y64" s="275">
        <f>Y65-Y67+Y69</f>
        <v>0</v>
      </c>
      <c r="Z64" s="214">
        <f ca="1">Z65-Z67+Z69</f>
        <v>110.8379172558283</v>
      </c>
      <c r="AA64" s="275">
        <f>AA65-AA67+AA69</f>
        <v>0</v>
      </c>
      <c r="AB64" s="214">
        <f>AB65-AB67+AB69</f>
        <v>0</v>
      </c>
      <c r="AC64" s="264"/>
      <c r="AD64" s="275">
        <f>AD65-AD67+AD69</f>
        <v>0</v>
      </c>
      <c r="AE64" s="214">
        <f ca="1">AE65-AE67+AE69</f>
        <v>110.8379172558283</v>
      </c>
      <c r="AF64" s="275">
        <f>AF65-AF67+AF69</f>
        <v>0</v>
      </c>
      <c r="AG64" s="214">
        <f>AG65-AG67+AG69</f>
        <v>0</v>
      </c>
      <c r="AH64" s="264"/>
      <c r="AI64" s="275">
        <f>AI65-AI67+AI69</f>
        <v>0</v>
      </c>
      <c r="AJ64" s="214">
        <f ca="1">AJ65-AJ67+AJ69</f>
        <v>110.8379172558283</v>
      </c>
      <c r="AK64" s="275">
        <f>AK65-AK67+AK69</f>
        <v>0</v>
      </c>
      <c r="AL64" s="214">
        <f>AL65-AL67+AL69</f>
        <v>0</v>
      </c>
      <c r="AM64" s="264"/>
      <c r="AN64" s="275">
        <f>AN65-AN67+AN69</f>
        <v>0</v>
      </c>
      <c r="AO64" s="214">
        <f ca="1">AO65-AO67+AO69</f>
        <v>110.8379172558283</v>
      </c>
      <c r="AP64" s="275">
        <f>AP65-AP67+AP69</f>
        <v>0</v>
      </c>
      <c r="AQ64" s="214">
        <f>AQ65-AQ67+AQ69</f>
        <v>0</v>
      </c>
      <c r="AR64" s="264"/>
      <c r="AS64" s="275">
        <f>AS65-AS67+AS69</f>
        <v>0</v>
      </c>
      <c r="AT64" s="214">
        <f ca="1">AT65-AT67+AT69</f>
        <v>110.8379172558283</v>
      </c>
      <c r="AU64" s="275">
        <f>AU65-AU67+AU69</f>
        <v>0</v>
      </c>
      <c r="AV64" s="214">
        <f>AV65-AV67+AV69</f>
        <v>0</v>
      </c>
      <c r="AW64" s="264"/>
      <c r="AX64" s="275">
        <f>AX65-AX67+AX69</f>
        <v>0</v>
      </c>
      <c r="AY64" s="214">
        <f ca="1">AY65-AY67+AY69</f>
        <v>110.8379172558283</v>
      </c>
      <c r="AZ64" s="275">
        <f>AZ65-AZ67+AZ69</f>
        <v>0</v>
      </c>
      <c r="BA64" s="214">
        <f>BA65-BA67+BA69</f>
        <v>0</v>
      </c>
      <c r="BB64" s="264"/>
      <c r="BC64" s="275">
        <f>BC65-BC67+BC69</f>
        <v>0</v>
      </c>
      <c r="BD64" s="214">
        <f ca="1">BD65-BD67+BD69</f>
        <v>110.8379172558283</v>
      </c>
      <c r="BE64" s="275">
        <f>BE65-BE67+BE69</f>
        <v>0</v>
      </c>
      <c r="BF64" s="214">
        <f>BF65-BF67+BF69</f>
        <v>0</v>
      </c>
      <c r="BG64" s="264"/>
      <c r="BH64" s="275">
        <f t="shared" ref="BH64:BM64" si="53">BH65-BH67+BH69</f>
        <v>0</v>
      </c>
      <c r="BI64" s="214">
        <f t="shared" ca="1" si="53"/>
        <v>110.8379172558283</v>
      </c>
      <c r="BJ64" s="275">
        <f t="shared" si="53"/>
        <v>0</v>
      </c>
      <c r="BK64" s="410">
        <f t="shared" si="53"/>
        <v>0</v>
      </c>
      <c r="BL64" s="275">
        <f t="shared" si="53"/>
        <v>0</v>
      </c>
      <c r="BM64" s="214">
        <f t="shared" si="53"/>
        <v>0</v>
      </c>
      <c r="BN64" s="117"/>
      <c r="BO64" s="117"/>
      <c r="BP64" s="117"/>
    </row>
    <row r="65" spans="1:68" ht="19.5" customHeight="1" x14ac:dyDescent="0.25">
      <c r="A65" s="260"/>
      <c r="B65" s="201" t="s">
        <v>137</v>
      </c>
      <c r="C65" s="212" t="s">
        <v>143</v>
      </c>
      <c r="D65" s="203" t="s">
        <v>155</v>
      </c>
      <c r="E65" s="213">
        <f>90/365*E66</f>
        <v>0</v>
      </c>
      <c r="F65" s="214">
        <f ca="1">90/365*F66</f>
        <v>124.13156359046155</v>
      </c>
      <c r="G65" s="382">
        <f>IF(AND(DAY(Postup!$H$24)=1,MONTH(Postup!$H$24)=1),0,E65*Výpočty!$E$17)</f>
        <v>0</v>
      </c>
      <c r="H65" s="383">
        <f>IF(AND(DAY(Postup!$H$24)=1,MONTH(Postup!$H$24)=1),0,F65*Výpočty!$E$17)</f>
        <v>0</v>
      </c>
      <c r="I65" s="275">
        <f>90/365*I66</f>
        <v>0</v>
      </c>
      <c r="J65" s="214">
        <f>90/365*J66</f>
        <v>0</v>
      </c>
      <c r="K65" s="788"/>
      <c r="L65" s="789"/>
      <c r="M65" s="789"/>
      <c r="N65" s="823" t="s">
        <v>243</v>
      </c>
      <c r="O65" s="275">
        <f>90/365*O66</f>
        <v>0</v>
      </c>
      <c r="P65" s="214">
        <f ca="1">90/365*P66</f>
        <v>124.13156359046155</v>
      </c>
      <c r="Q65" s="275">
        <f>90/365*Q66</f>
        <v>0</v>
      </c>
      <c r="R65" s="214">
        <f>90/365*R66</f>
        <v>0</v>
      </c>
      <c r="S65" s="823" t="s">
        <v>243</v>
      </c>
      <c r="T65" s="275">
        <f t="shared" ref="T65:U65" si="54">90/365*T66</f>
        <v>0</v>
      </c>
      <c r="U65" s="214">
        <f t="shared" ca="1" si="54"/>
        <v>124.13156359046155</v>
      </c>
      <c r="V65" s="275">
        <f>90/365*V66</f>
        <v>0</v>
      </c>
      <c r="W65" s="214">
        <f>90/365*W66</f>
        <v>0</v>
      </c>
      <c r="X65" s="823" t="s">
        <v>243</v>
      </c>
      <c r="Y65" s="275">
        <f t="shared" ref="Y65" si="55">90/365*Y66</f>
        <v>0</v>
      </c>
      <c r="Z65" s="214">
        <f t="shared" ref="Z65" ca="1" si="56">90/365*Z66</f>
        <v>124.13156359046155</v>
      </c>
      <c r="AA65" s="275">
        <f>90/365*AA66</f>
        <v>0</v>
      </c>
      <c r="AB65" s="214">
        <f>90/365*AB66</f>
        <v>0</v>
      </c>
      <c r="AC65" s="823" t="s">
        <v>243</v>
      </c>
      <c r="AD65" s="275">
        <f t="shared" ref="AD65" si="57">90/365*AD66</f>
        <v>0</v>
      </c>
      <c r="AE65" s="214">
        <f t="shared" ref="AE65" ca="1" si="58">90/365*AE66</f>
        <v>124.13156359046155</v>
      </c>
      <c r="AF65" s="275">
        <f>90/365*AF66</f>
        <v>0</v>
      </c>
      <c r="AG65" s="214">
        <f>90/365*AG66</f>
        <v>0</v>
      </c>
      <c r="AH65" s="823" t="s">
        <v>243</v>
      </c>
      <c r="AI65" s="275">
        <f t="shared" ref="AI65" si="59">90/365*AI66</f>
        <v>0</v>
      </c>
      <c r="AJ65" s="214">
        <f t="shared" ref="AJ65" ca="1" si="60">90/365*AJ66</f>
        <v>124.13156359046155</v>
      </c>
      <c r="AK65" s="275">
        <f>90/365*AK66</f>
        <v>0</v>
      </c>
      <c r="AL65" s="214">
        <f>90/365*AL66</f>
        <v>0</v>
      </c>
      <c r="AM65" s="823" t="s">
        <v>243</v>
      </c>
      <c r="AN65" s="275">
        <f t="shared" ref="AN65" si="61">90/365*AN66</f>
        <v>0</v>
      </c>
      <c r="AO65" s="214">
        <f t="shared" ref="AO65" ca="1" si="62">90/365*AO66</f>
        <v>124.13156359046155</v>
      </c>
      <c r="AP65" s="275">
        <f>90/365*AP66</f>
        <v>0</v>
      </c>
      <c r="AQ65" s="214">
        <f>90/365*AQ66</f>
        <v>0</v>
      </c>
      <c r="AR65" s="823" t="s">
        <v>243</v>
      </c>
      <c r="AS65" s="275">
        <f t="shared" ref="AS65:AT65" si="63">90/365*AS66</f>
        <v>0</v>
      </c>
      <c r="AT65" s="214">
        <f t="shared" ca="1" si="63"/>
        <v>124.13156359046155</v>
      </c>
      <c r="AU65" s="275">
        <f>90/365*AU66</f>
        <v>0</v>
      </c>
      <c r="AV65" s="214">
        <f>90/365*AV66</f>
        <v>0</v>
      </c>
      <c r="AW65" s="823" t="s">
        <v>243</v>
      </c>
      <c r="AX65" s="275">
        <f t="shared" ref="AX65:AY65" si="64">90/365*AX66</f>
        <v>0</v>
      </c>
      <c r="AY65" s="214">
        <f t="shared" ca="1" si="64"/>
        <v>124.13156359046155</v>
      </c>
      <c r="AZ65" s="275">
        <f>90/365*AZ66</f>
        <v>0</v>
      </c>
      <c r="BA65" s="214">
        <f>90/365*BA66</f>
        <v>0</v>
      </c>
      <c r="BB65" s="823" t="s">
        <v>243</v>
      </c>
      <c r="BC65" s="275">
        <f t="shared" ref="BC65:BD65" si="65">90/365*BC66</f>
        <v>0</v>
      </c>
      <c r="BD65" s="214">
        <f t="shared" ca="1" si="65"/>
        <v>124.13156359046155</v>
      </c>
      <c r="BE65" s="275">
        <f>90/365*BE66</f>
        <v>0</v>
      </c>
      <c r="BF65" s="214">
        <f>90/365*BF66</f>
        <v>0</v>
      </c>
      <c r="BG65" s="823" t="s">
        <v>243</v>
      </c>
      <c r="BH65" s="275">
        <f t="shared" ref="BH65:BI65" si="66">90/365*BH66</f>
        <v>0</v>
      </c>
      <c r="BI65" s="214">
        <f t="shared" ca="1" si="66"/>
        <v>124.13156359046155</v>
      </c>
      <c r="BJ65" s="275">
        <f>90/365*BJ66</f>
        <v>0</v>
      </c>
      <c r="BK65" s="410">
        <f>90/365*BK66</f>
        <v>0</v>
      </c>
      <c r="BL65" s="275">
        <f t="shared" ref="BL65:BM65" si="67">90/365*BL66</f>
        <v>0</v>
      </c>
      <c r="BM65" s="214">
        <f t="shared" si="67"/>
        <v>0</v>
      </c>
      <c r="BN65" s="117"/>
      <c r="BO65" s="117"/>
      <c r="BP65" s="117"/>
    </row>
    <row r="66" spans="1:68" x14ac:dyDescent="0.25">
      <c r="A66" s="260"/>
      <c r="B66" s="265"/>
      <c r="C66" s="244" t="s">
        <v>336</v>
      </c>
      <c r="D66" s="203" t="s">
        <v>155</v>
      </c>
      <c r="E66" s="582">
        <f>Nabídka!P12</f>
        <v>0</v>
      </c>
      <c r="F66" s="582">
        <f ca="1">Nabídka!Q12</f>
        <v>503.42245233909409</v>
      </c>
      <c r="G66" s="382">
        <f>IF(AND(DAY(Postup!$H$24)=1,MONTH(Postup!$H$24)=1),0,E66*Výpočty!$E$17)</f>
        <v>0</v>
      </c>
      <c r="H66" s="383">
        <f>IF(AND(DAY(Postup!$H$24)=1,MONTH(Postup!$H$24)=1),0,F66*Výpočty!$E$17)</f>
        <v>0</v>
      </c>
      <c r="I66" s="382">
        <f>IF(I$16="Neaktivní",0,IF(ISBLANK($J$17),0,E66*Výpočty!$H$53))</f>
        <v>0</v>
      </c>
      <c r="J66" s="383">
        <f>IF(I$16="Neaktivní",0,IF(ISBLANK($J$17),0,F66*Výpočty!$H$53))</f>
        <v>0</v>
      </c>
      <c r="K66" s="790"/>
      <c r="L66" s="791"/>
      <c r="M66" s="791"/>
      <c r="N66" s="824"/>
      <c r="O66" s="582">
        <f>Nabídka!P12</f>
        <v>0</v>
      </c>
      <c r="P66" s="582">
        <f ca="1">Nabídka!Q12</f>
        <v>503.42245233909409</v>
      </c>
      <c r="Q66" s="382">
        <f>IF(Q$16="Neaktivní",0,IF(ISBLANK($R$17),0,O66*Výpočty!$I$53))</f>
        <v>0</v>
      </c>
      <c r="R66" s="383">
        <f>IF(Q$16="Neaktivní",0,IF(ISBLANK($R$17),0,P66*Výpočty!$I$53))</f>
        <v>0</v>
      </c>
      <c r="S66" s="824"/>
      <c r="T66" s="582">
        <f>Nabídka!P12</f>
        <v>0</v>
      </c>
      <c r="U66" s="582">
        <f ca="1">Nabídka!Q12</f>
        <v>503.42245233909409</v>
      </c>
      <c r="V66" s="382">
        <f>IF(V$16="Neaktivní",0,IF(ISBLANK($W$17),0,T66*Výpočty!$J$53))</f>
        <v>0</v>
      </c>
      <c r="W66" s="383">
        <f>IF(V$16="Neaktivní",0,IF(ISBLANK($W$17),0,U66*Výpočty!$J$53))</f>
        <v>0</v>
      </c>
      <c r="X66" s="824"/>
      <c r="Y66" s="582">
        <f>Nabídka!P12</f>
        <v>0</v>
      </c>
      <c r="Z66" s="582">
        <f ca="1">Nabídka!Q12</f>
        <v>503.42245233909409</v>
      </c>
      <c r="AA66" s="382">
        <f>IF(AA$16="Neaktivní",0,IF(ISBLANK($AB$17),0,Y66*Výpočty!$K$53))</f>
        <v>0</v>
      </c>
      <c r="AB66" s="383">
        <f>IF(AA$16="Neaktivní",0,IF(ISBLANK($AB$17),0,Z66*Výpočty!$K$53))</f>
        <v>0</v>
      </c>
      <c r="AC66" s="824"/>
      <c r="AD66" s="582">
        <f>Nabídka!P12</f>
        <v>0</v>
      </c>
      <c r="AE66" s="582">
        <f ca="1">Nabídka!Q12</f>
        <v>503.42245233909409</v>
      </c>
      <c r="AF66" s="382">
        <f>IF(AF$16="Neaktivní",0,IF(ISBLANK($AG$17),0,AD66*Výpočty!$L$53))</f>
        <v>0</v>
      </c>
      <c r="AG66" s="383">
        <f>IF(AF$16="Neaktivní",0,IF(ISBLANK($AG$17),0,AE66*Výpočty!$L$53))</f>
        <v>0</v>
      </c>
      <c r="AH66" s="824"/>
      <c r="AI66" s="588">
        <f>Nabídka!P12</f>
        <v>0</v>
      </c>
      <c r="AJ66" s="588">
        <f ca="1">Nabídka!Q12</f>
        <v>503.42245233909409</v>
      </c>
      <c r="AK66" s="382">
        <f>IF(AK$16="Neaktivní",0,IF(ISBLANK($AG$17),0,AI66*Výpočty!$M$53))</f>
        <v>0</v>
      </c>
      <c r="AL66" s="383">
        <f>IF(AK$16="Neaktivní",0,IF(ISBLANK($AG$17),0,AJ66*Výpočty!$M$53))</f>
        <v>0</v>
      </c>
      <c r="AM66" s="824"/>
      <c r="AN66" s="588">
        <f>Nabídka!P12</f>
        <v>0</v>
      </c>
      <c r="AO66" s="588">
        <f ca="1">Nabídka!Q12</f>
        <v>503.42245233909409</v>
      </c>
      <c r="AP66" s="382">
        <f>IF(AP$16="Neaktivní",0,IF(ISBLANK($AQ$17),0,AN66*Výpočty!$N$53))</f>
        <v>0</v>
      </c>
      <c r="AQ66" s="383">
        <f>IF(AP$16="Neaktivní",0,IF(ISBLANK($AQ$17),0,AO66*Výpočty!$N$53))</f>
        <v>0</v>
      </c>
      <c r="AR66" s="824"/>
      <c r="AS66" s="588">
        <f>Nabídka!P12</f>
        <v>0</v>
      </c>
      <c r="AT66" s="588">
        <f ca="1">Nabídka!Q12</f>
        <v>503.42245233909409</v>
      </c>
      <c r="AU66" s="382">
        <f>IF(AU$16="Neaktivní",0,IF(ISBLANK($AV$17),0,AS66*Výpočty!$O$53))</f>
        <v>0</v>
      </c>
      <c r="AV66" s="383">
        <f>IF(AU$16="Neaktivní",0,IF(ISBLANK($AV$17),0,AT66*Výpočty!$O$53))</f>
        <v>0</v>
      </c>
      <c r="AW66" s="824"/>
      <c r="AX66" s="588">
        <f>Nabídka!P12</f>
        <v>0</v>
      </c>
      <c r="AY66" s="588">
        <f ca="1">Nabídka!Q12</f>
        <v>503.42245233909409</v>
      </c>
      <c r="AZ66" s="382">
        <f>IF(AZ$16="Neaktivní",0,IF(ISBLANK($BA$17),0,AX66*Výpočty!$P$53))</f>
        <v>0</v>
      </c>
      <c r="BA66" s="383">
        <f>IF(AZ$16="Neaktivní",0,IF(ISBLANK($BA$17),0,AY66*Výpočty!$P$53))</f>
        <v>0</v>
      </c>
      <c r="BB66" s="824"/>
      <c r="BC66" s="588">
        <f>Nabídka!P12</f>
        <v>0</v>
      </c>
      <c r="BD66" s="588">
        <f ca="1">Nabídka!Q12</f>
        <v>503.42245233909409</v>
      </c>
      <c r="BE66" s="382">
        <f>IF(BE$16="Neaktivní",0,IF(ISBLANK($BF$17),0,BC66*Výpočty!$Q$53))</f>
        <v>0</v>
      </c>
      <c r="BF66" s="383">
        <f>IF(BE$16="Neaktivní",0,IF(ISBLANK($BF$17),0,BD66*Výpočty!$Q$53))</f>
        <v>0</v>
      </c>
      <c r="BG66" s="824"/>
      <c r="BH66" s="588">
        <f>Nabídka!P12</f>
        <v>0</v>
      </c>
      <c r="BI66" s="588">
        <f ca="1">Nabídka!Q12</f>
        <v>503.42245233909409</v>
      </c>
      <c r="BJ66" s="382">
        <f>IF(BJ$16="Neaktivní",0,IF(ISBLANK($BK$17),0,BH66*Výpočty!$R$53))</f>
        <v>0</v>
      </c>
      <c r="BK66" s="49">
        <f>IF(BJ$16="Neaktivní",0,IF(ISBLANK($BK$17),0,BI66*Výpočty!$R$53))</f>
        <v>0</v>
      </c>
      <c r="BL66" s="118">
        <f>IF(AND(DAY(Postup!$H$25)=31,MONTH(Postup!$H$25)=12),0,INDEX($E66:$BP66,MATCH($BL$55,$E$55:$BP$55,0))*Výpočty!$E$23)</f>
        <v>0</v>
      </c>
      <c r="BM66" s="119">
        <f>IF(AND(DAY(Postup!$H$25)=31,MONTH(Postup!$H$25)=12),0,INDEX($E66:$BP66,MATCH($BM$55,$E$55:$BP$55,0))*Výpočty!$E$23)</f>
        <v>0</v>
      </c>
      <c r="BN66" s="109"/>
      <c r="BO66" s="109"/>
      <c r="BP66" s="109"/>
    </row>
    <row r="67" spans="1:68" ht="19.5" customHeight="1" x14ac:dyDescent="0.25">
      <c r="A67" s="260"/>
      <c r="B67" s="201" t="s">
        <v>138</v>
      </c>
      <c r="C67" s="212" t="s">
        <v>145</v>
      </c>
      <c r="D67" s="203" t="s">
        <v>155</v>
      </c>
      <c r="E67" s="213">
        <f>15/365*E68</f>
        <v>0</v>
      </c>
      <c r="F67" s="214">
        <f>15/365*F68</f>
        <v>17.671232876712327</v>
      </c>
      <c r="G67" s="382">
        <f>IF(AND(DAY(Postup!$H$24)=1,MONTH(Postup!$H$24)=1),0,E67*Výpočty!$E$17)</f>
        <v>0</v>
      </c>
      <c r="H67" s="383">
        <f>IF(AND(DAY(Postup!$H$24)=1,MONTH(Postup!$H$24)=1),0,F67*Výpočty!$E$17)</f>
        <v>0</v>
      </c>
      <c r="I67" s="275">
        <f>15/365*I68</f>
        <v>0</v>
      </c>
      <c r="J67" s="214">
        <f>15/365*J68</f>
        <v>0</v>
      </c>
      <c r="K67" s="788"/>
      <c r="L67" s="789"/>
      <c r="M67" s="789"/>
      <c r="N67" s="823" t="s">
        <v>327</v>
      </c>
      <c r="O67" s="275">
        <f>15/365*O68</f>
        <v>0</v>
      </c>
      <c r="P67" s="214">
        <f>15/365*P68</f>
        <v>17.671232876712327</v>
      </c>
      <c r="Q67" s="275">
        <f>15/365*Q68</f>
        <v>0</v>
      </c>
      <c r="R67" s="214">
        <f>15/365*R68</f>
        <v>0</v>
      </c>
      <c r="S67" s="823" t="s">
        <v>327</v>
      </c>
      <c r="T67" s="275">
        <f>15/365*T68</f>
        <v>0</v>
      </c>
      <c r="U67" s="214">
        <f>15/365*U68</f>
        <v>17.671232876712327</v>
      </c>
      <c r="V67" s="275">
        <f>15/365*V68</f>
        <v>0</v>
      </c>
      <c r="W67" s="214">
        <f>15/365*W68</f>
        <v>0</v>
      </c>
      <c r="X67" s="823" t="s">
        <v>327</v>
      </c>
      <c r="Y67" s="275">
        <f>15/365*Y68</f>
        <v>0</v>
      </c>
      <c r="Z67" s="214">
        <f>15/365*Z68</f>
        <v>17.671232876712327</v>
      </c>
      <c r="AA67" s="275">
        <f>15/365*AA68</f>
        <v>0</v>
      </c>
      <c r="AB67" s="214">
        <f>15/365*AB68</f>
        <v>0</v>
      </c>
      <c r="AC67" s="823" t="s">
        <v>327</v>
      </c>
      <c r="AD67" s="275">
        <f>15/365*AD68</f>
        <v>0</v>
      </c>
      <c r="AE67" s="214">
        <f>15/365*AE68</f>
        <v>17.671232876712327</v>
      </c>
      <c r="AF67" s="275">
        <f>15/365*AF68</f>
        <v>0</v>
      </c>
      <c r="AG67" s="214">
        <f>15/365*AG68</f>
        <v>0</v>
      </c>
      <c r="AH67" s="823" t="s">
        <v>327</v>
      </c>
      <c r="AI67" s="275">
        <f>15/365*AI68</f>
        <v>0</v>
      </c>
      <c r="AJ67" s="214">
        <f>15/365*AJ68</f>
        <v>17.671232876712327</v>
      </c>
      <c r="AK67" s="275">
        <f>15/365*AK68</f>
        <v>0</v>
      </c>
      <c r="AL67" s="214">
        <f>15/365*AL68</f>
        <v>0</v>
      </c>
      <c r="AM67" s="823" t="s">
        <v>327</v>
      </c>
      <c r="AN67" s="275">
        <f>15/365*AN68</f>
        <v>0</v>
      </c>
      <c r="AO67" s="214">
        <f>15/365*AO68</f>
        <v>17.671232876712327</v>
      </c>
      <c r="AP67" s="275">
        <f>15/365*AP68</f>
        <v>0</v>
      </c>
      <c r="AQ67" s="214">
        <f>15/365*AQ68</f>
        <v>0</v>
      </c>
      <c r="AR67" s="823" t="s">
        <v>327</v>
      </c>
      <c r="AS67" s="275">
        <f>15/365*AS68</f>
        <v>0</v>
      </c>
      <c r="AT67" s="214">
        <f>15/365*AT68</f>
        <v>17.671232876712327</v>
      </c>
      <c r="AU67" s="275">
        <f>15/365*AU68</f>
        <v>0</v>
      </c>
      <c r="AV67" s="214">
        <f>15/365*AV68</f>
        <v>0</v>
      </c>
      <c r="AW67" s="823" t="s">
        <v>327</v>
      </c>
      <c r="AX67" s="275">
        <f>15/365*AX68</f>
        <v>0</v>
      </c>
      <c r="AY67" s="214">
        <f>15/365*AY68</f>
        <v>17.671232876712327</v>
      </c>
      <c r="AZ67" s="275">
        <f>15/365*AZ68</f>
        <v>0</v>
      </c>
      <c r="BA67" s="214">
        <f>15/365*BA68</f>
        <v>0</v>
      </c>
      <c r="BB67" s="823" t="s">
        <v>327</v>
      </c>
      <c r="BC67" s="275">
        <f>15/365*BC68</f>
        <v>0</v>
      </c>
      <c r="BD67" s="214">
        <f>15/365*BD68</f>
        <v>17.671232876712327</v>
      </c>
      <c r="BE67" s="275">
        <f>15/365*BE68</f>
        <v>0</v>
      </c>
      <c r="BF67" s="214">
        <f>15/365*BF68</f>
        <v>0</v>
      </c>
      <c r="BG67" s="823" t="s">
        <v>327</v>
      </c>
      <c r="BH67" s="275">
        <f t="shared" ref="BH67:BM67" si="68">15/365*BH68</f>
        <v>0</v>
      </c>
      <c r="BI67" s="214">
        <f t="shared" si="68"/>
        <v>17.671232876712327</v>
      </c>
      <c r="BJ67" s="275">
        <f t="shared" si="68"/>
        <v>0</v>
      </c>
      <c r="BK67" s="410">
        <f t="shared" si="68"/>
        <v>0</v>
      </c>
      <c r="BL67" s="275">
        <f t="shared" si="68"/>
        <v>0</v>
      </c>
      <c r="BM67" s="214">
        <f t="shared" si="68"/>
        <v>0</v>
      </c>
      <c r="BN67" s="117"/>
      <c r="BO67" s="117"/>
      <c r="BP67" s="117"/>
    </row>
    <row r="68" spans="1:68" ht="19.5" x14ac:dyDescent="0.25">
      <c r="A68" s="260"/>
      <c r="B68" s="202"/>
      <c r="C68" s="246" t="s">
        <v>337</v>
      </c>
      <c r="D68" s="203" t="s">
        <v>155</v>
      </c>
      <c r="E68" s="582">
        <f>Nabídka!P16</f>
        <v>0</v>
      </c>
      <c r="F68" s="582">
        <f>Nabídka!Q16</f>
        <v>430</v>
      </c>
      <c r="G68" s="382">
        <f>IF(AND(DAY(Postup!$H$24)=1,MONTH(Postup!$H$24)=1),0,E68*Výpočty!$E$17)</f>
        <v>0</v>
      </c>
      <c r="H68" s="383">
        <f>IF(AND(DAY(Postup!$H$24)=1,MONTH(Postup!$H$24)=1),0,F68*Výpočty!$E$17)</f>
        <v>0</v>
      </c>
      <c r="I68" s="382">
        <f>IF(I$16="Neaktivní",0,IF(ISBLANK($J$17),0,E68*Výpočty!$H$53))</f>
        <v>0</v>
      </c>
      <c r="J68" s="383">
        <f>IF(I$16="Neaktivní",0,IF(ISBLANK($J$17),0,F68*Výpočty!$H$53))</f>
        <v>0</v>
      </c>
      <c r="K68" s="790"/>
      <c r="L68" s="791"/>
      <c r="M68" s="791"/>
      <c r="N68" s="824"/>
      <c r="O68" s="582">
        <f>Nabídka!P16</f>
        <v>0</v>
      </c>
      <c r="P68" s="582">
        <f>Nabídka!Q16</f>
        <v>430</v>
      </c>
      <c r="Q68" s="382">
        <f>IF(Q$16="Neaktivní",0,IF(ISBLANK($R$17),0,O68*Výpočty!$I$53))</f>
        <v>0</v>
      </c>
      <c r="R68" s="383">
        <f>IF(Q$16="Neaktivní",0,IF(ISBLANK($R$17),0,P68*Výpočty!$I$53))</f>
        <v>0</v>
      </c>
      <c r="S68" s="824"/>
      <c r="T68" s="582">
        <f>Nabídka!P16</f>
        <v>0</v>
      </c>
      <c r="U68" s="582">
        <f>Nabídka!Q16</f>
        <v>430</v>
      </c>
      <c r="V68" s="382">
        <f>IF(V$16="Neaktivní",0,IF(ISBLANK($W$17),0,T68*Výpočty!$J$53))</f>
        <v>0</v>
      </c>
      <c r="W68" s="383">
        <f>IF(V$16="Neaktivní",0,IF(ISBLANK($W$17),0,U68*Výpočty!$J$53))</f>
        <v>0</v>
      </c>
      <c r="X68" s="824"/>
      <c r="Y68" s="582">
        <f>Nabídka!P16</f>
        <v>0</v>
      </c>
      <c r="Z68" s="582">
        <f>Nabídka!Q16</f>
        <v>430</v>
      </c>
      <c r="AA68" s="382">
        <f>IF(AA$16="Neaktivní",0,IF(ISBLANK($AB$17),0,Y68*Výpočty!$K$53))</f>
        <v>0</v>
      </c>
      <c r="AB68" s="383">
        <f>IF(AA$16="Neaktivní",0,IF(ISBLANK($AB$17),0,Z68*Výpočty!$K$53))</f>
        <v>0</v>
      </c>
      <c r="AC68" s="824"/>
      <c r="AD68" s="582">
        <f>Nabídka!P16</f>
        <v>0</v>
      </c>
      <c r="AE68" s="582">
        <f>Nabídka!Q16</f>
        <v>430</v>
      </c>
      <c r="AF68" s="382">
        <f>IF(AF$16="Neaktivní",0,IF(ISBLANK($AG$17),0,AD68*Výpočty!$L$53))</f>
        <v>0</v>
      </c>
      <c r="AG68" s="383">
        <f>IF(AF$16="Neaktivní",0,IF(ISBLANK($AG$17),0,AE68*Výpočty!$L$53))</f>
        <v>0</v>
      </c>
      <c r="AH68" s="824"/>
      <c r="AI68" s="588">
        <f>Nabídka!P16</f>
        <v>0</v>
      </c>
      <c r="AJ68" s="588">
        <f>Nabídka!Q16</f>
        <v>430</v>
      </c>
      <c r="AK68" s="382">
        <f>IF(AK$16="Neaktivní",0,IF(ISBLANK($AG$17),0,AI68*Výpočty!$M$53))</f>
        <v>0</v>
      </c>
      <c r="AL68" s="383">
        <f>IF(AK$16="Neaktivní",0,IF(ISBLANK($AG$17),0,AJ68*Výpočty!$M$53))</f>
        <v>0</v>
      </c>
      <c r="AM68" s="824"/>
      <c r="AN68" s="588">
        <f>Nabídka!P16</f>
        <v>0</v>
      </c>
      <c r="AO68" s="588">
        <f>Nabídka!Q16</f>
        <v>430</v>
      </c>
      <c r="AP68" s="382">
        <f>IF(AP$16="Neaktivní",0,IF(ISBLANK($AQ$17),0,AN68*Výpočty!$N$53))</f>
        <v>0</v>
      </c>
      <c r="AQ68" s="383">
        <f>IF(AP$16="Neaktivní",0,IF(ISBLANK($AQ$17),0,AO68*Výpočty!$N$53))</f>
        <v>0</v>
      </c>
      <c r="AR68" s="824"/>
      <c r="AS68" s="588">
        <f>Nabídka!P16</f>
        <v>0</v>
      </c>
      <c r="AT68" s="588">
        <f>Nabídka!Q16</f>
        <v>430</v>
      </c>
      <c r="AU68" s="382">
        <f>IF(AU$16="Neaktivní",0,IF(ISBLANK($AV$17),0,AS68*Výpočty!$O$53))</f>
        <v>0</v>
      </c>
      <c r="AV68" s="383">
        <f>IF(AU$16="Neaktivní",0,IF(ISBLANK($AV$17),0,AT68*Výpočty!$O$53))</f>
        <v>0</v>
      </c>
      <c r="AW68" s="824"/>
      <c r="AX68" s="588">
        <f>Nabídka!P16</f>
        <v>0</v>
      </c>
      <c r="AY68" s="588">
        <f>Nabídka!Q16</f>
        <v>430</v>
      </c>
      <c r="AZ68" s="382">
        <f>IF(AZ$16="Neaktivní",0,IF(ISBLANK($BA$17),0,AX68*Výpočty!$P$53))</f>
        <v>0</v>
      </c>
      <c r="BA68" s="383">
        <f>IF(AZ$16="Neaktivní",0,IF(ISBLANK($BA$17),0,AY68*Výpočty!$P$53))</f>
        <v>0</v>
      </c>
      <c r="BB68" s="824"/>
      <c r="BC68" s="588">
        <f>Nabídka!P16</f>
        <v>0</v>
      </c>
      <c r="BD68" s="588">
        <f>Nabídka!Q16</f>
        <v>430</v>
      </c>
      <c r="BE68" s="382">
        <f>IF(BE$16="Neaktivní",0,IF(ISBLANK($BF$17),0,BC68*Výpočty!$Q$53))</f>
        <v>0</v>
      </c>
      <c r="BF68" s="383">
        <f>IF(BE$16="Neaktivní",0,IF(ISBLANK($BF$17),0,BD68*Výpočty!$Q$53))</f>
        <v>0</v>
      </c>
      <c r="BG68" s="824"/>
      <c r="BH68" s="588">
        <f>Nabídka!P16</f>
        <v>0</v>
      </c>
      <c r="BI68" s="588">
        <f>Nabídka!Q16</f>
        <v>430</v>
      </c>
      <c r="BJ68" s="382">
        <f>IF(BJ$16="Neaktivní",0,IF(ISBLANK($BK$17),0,BH68*Výpočty!$R$53))</f>
        <v>0</v>
      </c>
      <c r="BK68" s="49">
        <f>IF(BJ$16="Neaktivní",0,IF(ISBLANK($BK$17),0,BI68*Výpočty!$R$53))</f>
        <v>0</v>
      </c>
      <c r="BL68" s="118">
        <f>IF(AND(DAY(Postup!$H$25)=31,MONTH(Postup!$H$25)=12),0,INDEX($E68:$BP68,MATCH($BL$55,$E$55:$BP$55,0))*Výpočty!$E$23)</f>
        <v>0</v>
      </c>
      <c r="BM68" s="119">
        <f>IF(AND(DAY(Postup!$H$25)=31,MONTH(Postup!$H$25)=12),0,INDEX($E68:$BP68,MATCH($BM$55,$E$55:$BP$55,0))*Výpočty!$E$23)</f>
        <v>0</v>
      </c>
      <c r="BN68" s="109"/>
      <c r="BO68" s="109"/>
      <c r="BP68" s="109"/>
    </row>
    <row r="69" spans="1:68" ht="29.25" x14ac:dyDescent="0.25">
      <c r="A69" s="260"/>
      <c r="B69" s="88" t="s">
        <v>139</v>
      </c>
      <c r="C69" s="245" t="s">
        <v>241</v>
      </c>
      <c r="D69" s="203" t="s">
        <v>155</v>
      </c>
      <c r="E69" s="582">
        <f>Nabídka!P18</f>
        <v>0</v>
      </c>
      <c r="F69" s="582">
        <f ca="1">Nabídka!Q18</f>
        <v>4.3775865420790794</v>
      </c>
      <c r="G69" s="382">
        <f>IF(AND(DAY(Postup!$H$24)=1,MONTH(Postup!$H$24)=1),0,E69*Výpočty!$E$17)</f>
        <v>0</v>
      </c>
      <c r="H69" s="383">
        <f>IF(AND(DAY(Postup!$H$24)=1,MONTH(Postup!$H$24)=1),0,F69*Výpočty!$E$17)</f>
        <v>0</v>
      </c>
      <c r="I69" s="382">
        <f>IF(I$16="Neaktivní",0,IF(ISBLANK($J$17),0,E69*Výpočty!$H$53))</f>
        <v>0</v>
      </c>
      <c r="J69" s="383">
        <f>IF(I$16="Neaktivní",0,IF(ISBLANK($J$17),0,F69*Výpočty!$H$53))</f>
        <v>0</v>
      </c>
      <c r="K69" s="792"/>
      <c r="L69" s="793"/>
      <c r="M69" s="793"/>
      <c r="N69" s="277" t="s">
        <v>243</v>
      </c>
      <c r="O69" s="582">
        <f>Nabídka!P18</f>
        <v>0</v>
      </c>
      <c r="P69" s="582">
        <f ca="1">Nabídka!Q18</f>
        <v>4.3775865420790794</v>
      </c>
      <c r="Q69" s="382">
        <f>IF(Q$16="Neaktivní",0,IF(ISBLANK($R$17),0,O69*Výpočty!$I$53))</f>
        <v>0</v>
      </c>
      <c r="R69" s="383">
        <f>IF(Q$16="Neaktivní",0,IF(ISBLANK($R$17),0,P69*Výpočty!$I$53))</f>
        <v>0</v>
      </c>
      <c r="S69" s="277" t="s">
        <v>243</v>
      </c>
      <c r="T69" s="582">
        <f>Nabídka!P18</f>
        <v>0</v>
      </c>
      <c r="U69" s="582">
        <f ca="1">Nabídka!Q18</f>
        <v>4.3775865420790794</v>
      </c>
      <c r="V69" s="382">
        <f>IF(V$16="Neaktivní",0,IF(ISBLANK($W$17),0,T69*Výpočty!$J$53))</f>
        <v>0</v>
      </c>
      <c r="W69" s="383">
        <f>IF(V$16="Neaktivní",0,IF(ISBLANK($W$17),0,U69*Výpočty!$J$53))</f>
        <v>0</v>
      </c>
      <c r="X69" s="277" t="s">
        <v>243</v>
      </c>
      <c r="Y69" s="582">
        <f>Nabídka!P18</f>
        <v>0</v>
      </c>
      <c r="Z69" s="582">
        <f ca="1">Nabídka!Q18</f>
        <v>4.3775865420790794</v>
      </c>
      <c r="AA69" s="382">
        <f>IF(AA$16="Neaktivní",0,IF(ISBLANK($AB$17),0,Y69*Výpočty!$K$53))</f>
        <v>0</v>
      </c>
      <c r="AB69" s="383">
        <f>IF(AA$16="Neaktivní",0,IF(ISBLANK($AB$17),0,Z69*Výpočty!$K$53))</f>
        <v>0</v>
      </c>
      <c r="AC69" s="277" t="s">
        <v>243</v>
      </c>
      <c r="AD69" s="582">
        <f>Nabídka!P18</f>
        <v>0</v>
      </c>
      <c r="AE69" s="582">
        <f ca="1">Nabídka!Q18</f>
        <v>4.3775865420790794</v>
      </c>
      <c r="AF69" s="382">
        <f>IF(AF$16="Neaktivní",0,IF(ISBLANK($AG$17),0,AD69*Výpočty!$L$53))</f>
        <v>0</v>
      </c>
      <c r="AG69" s="383">
        <f>IF(AF$16="Neaktivní",0,IF(ISBLANK($AG$17),0,AE69*Výpočty!$L$53))</f>
        <v>0</v>
      </c>
      <c r="AH69" s="277" t="s">
        <v>243</v>
      </c>
      <c r="AI69" s="588">
        <f>Nabídka!P18</f>
        <v>0</v>
      </c>
      <c r="AJ69" s="588">
        <f ca="1">Nabídka!Q18</f>
        <v>4.3775865420790794</v>
      </c>
      <c r="AK69" s="382">
        <f>IF(AK$16="Neaktivní",0,IF(ISBLANK($AG$17),0,AI69*Výpočty!$M$53))</f>
        <v>0</v>
      </c>
      <c r="AL69" s="383">
        <f>IF(AK$16="Neaktivní",0,IF(ISBLANK($AG$17),0,AJ69*Výpočty!$M$53))</f>
        <v>0</v>
      </c>
      <c r="AM69" s="277" t="s">
        <v>243</v>
      </c>
      <c r="AN69" s="588">
        <f>Nabídka!P18</f>
        <v>0</v>
      </c>
      <c r="AO69" s="588">
        <f ca="1">Nabídka!Q18</f>
        <v>4.3775865420790794</v>
      </c>
      <c r="AP69" s="382">
        <f>IF(AP$16="Neaktivní",0,IF(ISBLANK($AQ$17),0,AN69*Výpočty!$N$53))</f>
        <v>0</v>
      </c>
      <c r="AQ69" s="383">
        <f>IF(AP$16="Neaktivní",0,IF(ISBLANK($AQ$17),0,AO69*Výpočty!$N$53))</f>
        <v>0</v>
      </c>
      <c r="AR69" s="277" t="s">
        <v>243</v>
      </c>
      <c r="AS69" s="588">
        <f>Nabídka!P18</f>
        <v>0</v>
      </c>
      <c r="AT69" s="588">
        <f ca="1">Nabídka!Q18</f>
        <v>4.3775865420790794</v>
      </c>
      <c r="AU69" s="382">
        <f>IF(AU$16="Neaktivní",0,IF(ISBLANK($AV$17),0,AS69*Výpočty!$O$53))</f>
        <v>0</v>
      </c>
      <c r="AV69" s="383">
        <f>IF(AU$16="Neaktivní",0,IF(ISBLANK($AV$17),0,AT69*Výpočty!$O$53))</f>
        <v>0</v>
      </c>
      <c r="AW69" s="277" t="s">
        <v>243</v>
      </c>
      <c r="AX69" s="588">
        <f>Nabídka!P18</f>
        <v>0</v>
      </c>
      <c r="AY69" s="588">
        <f ca="1">Nabídka!Q18</f>
        <v>4.3775865420790794</v>
      </c>
      <c r="AZ69" s="382">
        <f>IF(AZ$16="Neaktivní",0,IF(ISBLANK($BA$17),0,AX69*Výpočty!$P$53))</f>
        <v>0</v>
      </c>
      <c r="BA69" s="383">
        <f>IF(AZ$16="Neaktivní",0,IF(ISBLANK($BA$17),0,AY69*Výpočty!$P$53))</f>
        <v>0</v>
      </c>
      <c r="BB69" s="277" t="s">
        <v>243</v>
      </c>
      <c r="BC69" s="588">
        <f>Nabídka!P18</f>
        <v>0</v>
      </c>
      <c r="BD69" s="588">
        <f ca="1">Nabídka!Q18</f>
        <v>4.3775865420790794</v>
      </c>
      <c r="BE69" s="382">
        <f>IF(BE$16="Neaktivní",0,IF(ISBLANK($BF$17),0,BC69*Výpočty!$Q$53))</f>
        <v>0</v>
      </c>
      <c r="BF69" s="383">
        <f>IF(BE$16="Neaktivní",0,IF(ISBLANK($BF$17),0,BD69*Výpočty!$Q$53))</f>
        <v>0</v>
      </c>
      <c r="BG69" s="277" t="s">
        <v>243</v>
      </c>
      <c r="BH69" s="588">
        <f>Nabídka!P18</f>
        <v>0</v>
      </c>
      <c r="BI69" s="588">
        <f ca="1">Nabídka!Q18</f>
        <v>4.3775865420790794</v>
      </c>
      <c r="BJ69" s="382">
        <f>IF(BJ$16="Neaktivní",0,IF(ISBLANK($BK$17),0,BH69*Výpočty!$R$53))</f>
        <v>0</v>
      </c>
      <c r="BK69" s="49">
        <f>IF(BJ$16="Neaktivní",0,IF(ISBLANK($BK$17),0,BI69*Výpočty!$R$53))</f>
        <v>0</v>
      </c>
      <c r="BL69" s="118">
        <f>IF(AND(DAY(Postup!$H$25)=31,MONTH(Postup!$H$25)=12),0,INDEX($E69:$BP69,MATCH($BL$55,$E$55:$BP$55,0))*Výpočty!$E$23)</f>
        <v>0</v>
      </c>
      <c r="BM69" s="119">
        <f>IF(AND(DAY(Postup!$H$25)=31,MONTH(Postup!$H$25)=12),0,INDEX($E69:$BP69,MATCH($BM$55,$E$55:$BP$55,0))*Výpočty!$E$23)</f>
        <v>0</v>
      </c>
      <c r="BN69" s="109"/>
      <c r="BO69" s="109"/>
      <c r="BP69" s="109"/>
    </row>
    <row r="70" spans="1:68" ht="15" customHeight="1" x14ac:dyDescent="0.25">
      <c r="A70" s="260"/>
      <c r="B70" s="87" t="s">
        <v>31</v>
      </c>
      <c r="C70" s="41" t="s">
        <v>146</v>
      </c>
      <c r="D70" s="114" t="s">
        <v>155</v>
      </c>
      <c r="E70" s="137">
        <f>Nabídka!P20</f>
        <v>0</v>
      </c>
      <c r="F70" s="138">
        <f>Nabídka!Q20</f>
        <v>0</v>
      </c>
      <c r="G70" s="215">
        <v>0</v>
      </c>
      <c r="H70" s="216">
        <v>0</v>
      </c>
      <c r="I70" s="276">
        <v>0</v>
      </c>
      <c r="J70" s="138">
        <v>0</v>
      </c>
      <c r="K70" s="792"/>
      <c r="L70" s="793"/>
      <c r="M70" s="793"/>
      <c r="N70" s="807"/>
      <c r="O70" s="276">
        <v>0</v>
      </c>
      <c r="P70" s="138">
        <v>0</v>
      </c>
      <c r="Q70" s="276">
        <v>0</v>
      </c>
      <c r="R70" s="138">
        <v>0</v>
      </c>
      <c r="S70" s="266"/>
      <c r="T70" s="276">
        <v>0</v>
      </c>
      <c r="U70" s="138">
        <v>0</v>
      </c>
      <c r="V70" s="276">
        <v>0</v>
      </c>
      <c r="W70" s="138">
        <v>0</v>
      </c>
      <c r="X70" s="266"/>
      <c r="Y70" s="276">
        <v>0</v>
      </c>
      <c r="Z70" s="138">
        <v>0</v>
      </c>
      <c r="AA70" s="276">
        <v>0</v>
      </c>
      <c r="AB70" s="138">
        <v>0</v>
      </c>
      <c r="AC70" s="266"/>
      <c r="AD70" s="276">
        <v>0</v>
      </c>
      <c r="AE70" s="138">
        <v>0</v>
      </c>
      <c r="AF70" s="276">
        <v>0</v>
      </c>
      <c r="AG70" s="138">
        <v>0</v>
      </c>
      <c r="AH70" s="266"/>
      <c r="AI70" s="276">
        <v>0</v>
      </c>
      <c r="AJ70" s="138">
        <v>0</v>
      </c>
      <c r="AK70" s="276">
        <v>0</v>
      </c>
      <c r="AL70" s="138">
        <v>0</v>
      </c>
      <c r="AM70" s="266"/>
      <c r="AN70" s="276">
        <v>0</v>
      </c>
      <c r="AO70" s="138">
        <v>0</v>
      </c>
      <c r="AP70" s="276">
        <v>0</v>
      </c>
      <c r="AQ70" s="138">
        <v>0</v>
      </c>
      <c r="AR70" s="266"/>
      <c r="AS70" s="276">
        <v>0</v>
      </c>
      <c r="AT70" s="138">
        <v>0</v>
      </c>
      <c r="AU70" s="276">
        <v>0</v>
      </c>
      <c r="AV70" s="138">
        <v>0</v>
      </c>
      <c r="AW70" s="266"/>
      <c r="AX70" s="276">
        <v>0</v>
      </c>
      <c r="AY70" s="138">
        <v>0</v>
      </c>
      <c r="AZ70" s="276">
        <v>0</v>
      </c>
      <c r="BA70" s="138">
        <v>0</v>
      </c>
      <c r="BB70" s="266"/>
      <c r="BC70" s="276">
        <v>0</v>
      </c>
      <c r="BD70" s="138">
        <v>0</v>
      </c>
      <c r="BE70" s="276">
        <v>0</v>
      </c>
      <c r="BF70" s="138">
        <v>0</v>
      </c>
      <c r="BG70" s="266"/>
      <c r="BH70" s="276">
        <v>0</v>
      </c>
      <c r="BI70" s="138">
        <v>0</v>
      </c>
      <c r="BJ70" s="276">
        <v>0</v>
      </c>
      <c r="BK70" s="411">
        <v>0</v>
      </c>
      <c r="BL70" s="215">
        <v>0</v>
      </c>
      <c r="BM70" s="216">
        <v>0</v>
      </c>
      <c r="BN70" s="117"/>
      <c r="BO70" s="117"/>
      <c r="BP70" s="117"/>
    </row>
    <row r="71" spans="1:68" ht="19.5" x14ac:dyDescent="0.25">
      <c r="A71" s="260"/>
      <c r="B71" s="88" t="s">
        <v>41</v>
      </c>
      <c r="C71" s="212" t="s">
        <v>147</v>
      </c>
      <c r="D71" s="203" t="s">
        <v>155</v>
      </c>
      <c r="E71" s="213">
        <f>E62+E63+E64</f>
        <v>0</v>
      </c>
      <c r="F71" s="214">
        <f ca="1">F62++F63++F64</f>
        <v>110.8379172558283</v>
      </c>
      <c r="G71" s="275">
        <f>G62+G63+G64+G70</f>
        <v>0</v>
      </c>
      <c r="H71" s="214">
        <f>H62+H63+H64+H70</f>
        <v>0</v>
      </c>
      <c r="I71" s="275">
        <f>I62+I63+I64+I70</f>
        <v>0</v>
      </c>
      <c r="J71" s="214">
        <f>J62+J63+J64+J70</f>
        <v>0</v>
      </c>
      <c r="K71" s="792"/>
      <c r="L71" s="793"/>
      <c r="M71" s="793"/>
      <c r="N71" s="807"/>
      <c r="O71" s="275">
        <f>O62+O63+O64+O70</f>
        <v>0</v>
      </c>
      <c r="P71" s="214">
        <f ca="1">P62+P63+P64+P70</f>
        <v>110.8379172558283</v>
      </c>
      <c r="Q71" s="275">
        <f>Q62+Q63+Q64+Q70</f>
        <v>0</v>
      </c>
      <c r="R71" s="214">
        <f>R62+R63+R64+R70</f>
        <v>0</v>
      </c>
      <c r="S71" s="266"/>
      <c r="T71" s="275">
        <f>T62+T63+T64+T70</f>
        <v>0</v>
      </c>
      <c r="U71" s="214">
        <f ca="1">U62+U63+U64+U70</f>
        <v>110.8379172558283</v>
      </c>
      <c r="V71" s="275">
        <f>V62+V63+V64+V70</f>
        <v>0</v>
      </c>
      <c r="W71" s="214">
        <f>W62+W63+W64+W70</f>
        <v>0</v>
      </c>
      <c r="X71" s="266"/>
      <c r="Y71" s="275">
        <f>Y62+Y63+Y64+Y70</f>
        <v>0</v>
      </c>
      <c r="Z71" s="214">
        <f ca="1">Z62+Z63+Z64+Z70</f>
        <v>110.8379172558283</v>
      </c>
      <c r="AA71" s="275">
        <f>AA62+AA63+AA64+AA70</f>
        <v>0</v>
      </c>
      <c r="AB71" s="214">
        <f>AB62+AB63+AB64+AB70</f>
        <v>0</v>
      </c>
      <c r="AC71" s="266"/>
      <c r="AD71" s="275">
        <f>AD62+AD63+AD64+AD70</f>
        <v>0</v>
      </c>
      <c r="AE71" s="214">
        <f ca="1">AE62+AE63+AE64+AE70</f>
        <v>110.8379172558283</v>
      </c>
      <c r="AF71" s="275">
        <f>AF62+AF63+AF64+AF70</f>
        <v>0</v>
      </c>
      <c r="AG71" s="214">
        <f>AG62+AG63+AG64+AG70</f>
        <v>0</v>
      </c>
      <c r="AH71" s="266"/>
      <c r="AI71" s="275">
        <f>AI62+AI63+AI64+AI70</f>
        <v>0</v>
      </c>
      <c r="AJ71" s="214">
        <f ca="1">AJ62+AJ63+AJ64+AJ70</f>
        <v>110.8379172558283</v>
      </c>
      <c r="AK71" s="275">
        <f>AK62+AK63+AK64+AK70</f>
        <v>0</v>
      </c>
      <c r="AL71" s="214">
        <f>AL62+AL63+AL64+AL70</f>
        <v>0</v>
      </c>
      <c r="AM71" s="266"/>
      <c r="AN71" s="275">
        <f>AN62+AN63+AN64+AN70</f>
        <v>0</v>
      </c>
      <c r="AO71" s="214">
        <f ca="1">AO62+AO63+AO64+AO70</f>
        <v>110.8379172558283</v>
      </c>
      <c r="AP71" s="275">
        <f>AP62+AP63+AP64+AP70</f>
        <v>0</v>
      </c>
      <c r="AQ71" s="214">
        <f>AQ62+AQ63+AQ64+AQ70</f>
        <v>0</v>
      </c>
      <c r="AR71" s="266"/>
      <c r="AS71" s="275">
        <f>AS62+AS63+AS64+AS70</f>
        <v>0</v>
      </c>
      <c r="AT71" s="214">
        <f ca="1">AT62+AT63+AT64+AT70</f>
        <v>110.8379172558283</v>
      </c>
      <c r="AU71" s="275">
        <f>AU62+AU63+AU64+AU70</f>
        <v>0</v>
      </c>
      <c r="AV71" s="214">
        <f>AV62+AV63+AV64+AV70</f>
        <v>0</v>
      </c>
      <c r="AW71" s="266"/>
      <c r="AX71" s="275">
        <f>AX62+AX63+AX64+AX70</f>
        <v>0</v>
      </c>
      <c r="AY71" s="214">
        <f ca="1">AY62+AY63+AY64+AY70</f>
        <v>110.8379172558283</v>
      </c>
      <c r="AZ71" s="275">
        <f>AZ62+AZ63+AZ64+AZ70</f>
        <v>0</v>
      </c>
      <c r="BA71" s="214">
        <f>BA62+BA63+BA64+BA70</f>
        <v>0</v>
      </c>
      <c r="BB71" s="266"/>
      <c r="BC71" s="275">
        <f>BC62+BC63+BC64+BC70</f>
        <v>0</v>
      </c>
      <c r="BD71" s="214">
        <f ca="1">BD62+BD63+BD64+BD70</f>
        <v>110.8379172558283</v>
      </c>
      <c r="BE71" s="275">
        <f>BE62+BE63+BE64+BE70</f>
        <v>0</v>
      </c>
      <c r="BF71" s="214">
        <f>BF62+BF63+BF64+BF70</f>
        <v>0</v>
      </c>
      <c r="BG71" s="266"/>
      <c r="BH71" s="275">
        <f t="shared" ref="BH71:BM71" si="69">BH62+BH63+BH64+BH70</f>
        <v>0</v>
      </c>
      <c r="BI71" s="214">
        <f t="shared" ca="1" si="69"/>
        <v>110.8379172558283</v>
      </c>
      <c r="BJ71" s="275">
        <f t="shared" si="69"/>
        <v>0</v>
      </c>
      <c r="BK71" s="410">
        <f t="shared" si="69"/>
        <v>0</v>
      </c>
      <c r="BL71" s="275">
        <f t="shared" si="69"/>
        <v>0</v>
      </c>
      <c r="BM71" s="214">
        <f t="shared" si="69"/>
        <v>0</v>
      </c>
      <c r="BN71" s="117"/>
      <c r="BO71" s="117"/>
      <c r="BP71" s="117"/>
    </row>
    <row r="72" spans="1:68" ht="15" customHeight="1" x14ac:dyDescent="0.25">
      <c r="A72" s="260"/>
      <c r="B72" s="38" t="s">
        <v>49</v>
      </c>
      <c r="C72" s="116" t="s">
        <v>148</v>
      </c>
      <c r="D72" s="247" t="s">
        <v>216</v>
      </c>
      <c r="E72" s="400">
        <f>Nabídka!P23</f>
        <v>7.0000000000000007E-2</v>
      </c>
      <c r="F72" s="401">
        <f>Nabídka!Q23</f>
        <v>7.0000000000000007E-2</v>
      </c>
      <c r="G72" s="402">
        <f>IF(I$16="Neaktivní",0,E72)</f>
        <v>0</v>
      </c>
      <c r="H72" s="401">
        <f>IF(I$16="Neaktivní",0,F72)</f>
        <v>0</v>
      </c>
      <c r="I72" s="402">
        <f>IF(I$16="Neaktivní",0,E72)</f>
        <v>0</v>
      </c>
      <c r="J72" s="401">
        <f>IF(I$16="Neaktivní",0,F72)</f>
        <v>0</v>
      </c>
      <c r="K72" s="825"/>
      <c r="L72" s="826"/>
      <c r="M72" s="826"/>
      <c r="N72" s="827"/>
      <c r="O72" s="402">
        <v>7.0000000000000007E-2</v>
      </c>
      <c r="P72" s="401">
        <v>7.0000000000000007E-2</v>
      </c>
      <c r="Q72" s="402">
        <f>IF(Q$16="Neaktivní",0,O72)</f>
        <v>0</v>
      </c>
      <c r="R72" s="401">
        <f>IF(Q$16="Neaktivní",0,P72)</f>
        <v>0</v>
      </c>
      <c r="S72" s="403"/>
      <c r="T72" s="402">
        <v>7.0000000000000007E-2</v>
      </c>
      <c r="U72" s="401">
        <v>7.0000000000000007E-2</v>
      </c>
      <c r="V72" s="402">
        <f>IF(V$16="Neaktivní",0,T72)</f>
        <v>0</v>
      </c>
      <c r="W72" s="401">
        <f>IF(V$16="Neaktivní",0,U72)</f>
        <v>0</v>
      </c>
      <c r="X72" s="403"/>
      <c r="Y72" s="402">
        <v>7.0000000000000007E-2</v>
      </c>
      <c r="Z72" s="401">
        <v>7.0000000000000007E-2</v>
      </c>
      <c r="AA72" s="402">
        <f>IF(AA$16="Neaktivní",0,Y72)</f>
        <v>0</v>
      </c>
      <c r="AB72" s="401">
        <f>IF(AA$16="Neaktivní",0,Z72)</f>
        <v>0</v>
      </c>
      <c r="AC72" s="403"/>
      <c r="AD72" s="402">
        <v>7.0000000000000007E-2</v>
      </c>
      <c r="AE72" s="401">
        <v>7.0000000000000007E-2</v>
      </c>
      <c r="AF72" s="402">
        <f>IF(AF$16="Neaktivní",0,AD72)</f>
        <v>0</v>
      </c>
      <c r="AG72" s="401">
        <f>IF(AF$16="Neaktivní",0,AE72)</f>
        <v>0</v>
      </c>
      <c r="AH72" s="403"/>
      <c r="AI72" s="402">
        <v>7.0000000000000007E-2</v>
      </c>
      <c r="AJ72" s="401">
        <v>7.0000000000000007E-2</v>
      </c>
      <c r="AK72" s="402">
        <f>IF(AK$16="Neaktivní",0,AI72)</f>
        <v>0</v>
      </c>
      <c r="AL72" s="401">
        <f>IF(AK$16="Neaktivní",0,AJ72)</f>
        <v>0</v>
      </c>
      <c r="AM72" s="403"/>
      <c r="AN72" s="402">
        <v>7.0000000000000007E-2</v>
      </c>
      <c r="AO72" s="401">
        <v>7.0000000000000007E-2</v>
      </c>
      <c r="AP72" s="402">
        <f>IF(AP$16="Neaktivní",0,AN72)</f>
        <v>0</v>
      </c>
      <c r="AQ72" s="401">
        <f>IF(AP$16="Neaktivní",0,AO72)</f>
        <v>0</v>
      </c>
      <c r="AR72" s="403"/>
      <c r="AS72" s="402">
        <v>7.0000000000000007E-2</v>
      </c>
      <c r="AT72" s="401">
        <v>7.0000000000000007E-2</v>
      </c>
      <c r="AU72" s="402">
        <f>IF(AU$16="Neaktivní",0,AS72)</f>
        <v>0</v>
      </c>
      <c r="AV72" s="401">
        <f>IF(AU$16="Neaktivní",0,AT72)</f>
        <v>0</v>
      </c>
      <c r="AW72" s="403"/>
      <c r="AX72" s="402">
        <v>7.0000000000000007E-2</v>
      </c>
      <c r="AY72" s="401">
        <v>7.0000000000000007E-2</v>
      </c>
      <c r="AZ72" s="402">
        <f>IF(AZ$16="Neaktivní",0,AX72)</f>
        <v>0</v>
      </c>
      <c r="BA72" s="401">
        <f>IF(AZ$16="Neaktivní",0,AY72)</f>
        <v>0</v>
      </c>
      <c r="BB72" s="403"/>
      <c r="BC72" s="402">
        <v>7.0000000000000007E-2</v>
      </c>
      <c r="BD72" s="401">
        <v>7.0000000000000007E-2</v>
      </c>
      <c r="BE72" s="402">
        <f>IF(BE$16="Neaktivní",0,BC72)</f>
        <v>0</v>
      </c>
      <c r="BF72" s="401">
        <f>IF(BE$16="Neaktivní",0,BD72)</f>
        <v>0</v>
      </c>
      <c r="BG72" s="403"/>
      <c r="BH72" s="402">
        <v>7.0000000000000007E-2</v>
      </c>
      <c r="BI72" s="401">
        <v>7.0000000000000007E-2</v>
      </c>
      <c r="BJ72" s="402">
        <f>IF(BJ$16="Neaktivní",0,BH72)</f>
        <v>0</v>
      </c>
      <c r="BK72" s="412">
        <f>IF(BJ$16="Neaktivní",0,BI72)</f>
        <v>0</v>
      </c>
      <c r="BL72" s="400">
        <f>IF(AND(DAY(Postup!$H$25)=31,MONTH(Postup!$H$25)=12),0,INDEX($E72:$BP72,MATCH($BL$55,$E$55:$BP$55,0)))</f>
        <v>0</v>
      </c>
      <c r="BM72" s="401">
        <f>IF(AND(DAY(Postup!$H$25)=31,MONTH(Postup!$H$25)=12),0,INDEX($E72:$BP72,MATCH($BM$55,$E$55:$BP$55,0)))</f>
        <v>0</v>
      </c>
      <c r="BN72" s="423"/>
      <c r="BO72" s="423"/>
      <c r="BP72" s="423"/>
    </row>
    <row r="73" spans="1:68" x14ac:dyDescent="0.25">
      <c r="A73" s="260"/>
      <c r="B73" s="38" t="s">
        <v>51</v>
      </c>
      <c r="C73" s="41" t="s">
        <v>149</v>
      </c>
      <c r="D73" s="38" t="s">
        <v>155</v>
      </c>
      <c r="E73" s="137">
        <f>Nabídka!P24</f>
        <v>0</v>
      </c>
      <c r="F73" s="138">
        <f>Nabídka!Q24</f>
        <v>0</v>
      </c>
      <c r="G73" s="215">
        <f>E73</f>
        <v>0</v>
      </c>
      <c r="H73" s="216">
        <f>F73</f>
        <v>0</v>
      </c>
      <c r="I73" s="137">
        <f>E73</f>
        <v>0</v>
      </c>
      <c r="J73" s="138">
        <f>F73</f>
        <v>0</v>
      </c>
      <c r="K73" s="792"/>
      <c r="L73" s="793"/>
      <c r="M73" s="793"/>
      <c r="N73" s="807"/>
      <c r="O73" s="137">
        <v>0</v>
      </c>
      <c r="P73" s="138">
        <v>0</v>
      </c>
      <c r="Q73" s="137">
        <f>M73</f>
        <v>0</v>
      </c>
      <c r="R73" s="138">
        <f>N73</f>
        <v>0</v>
      </c>
      <c r="S73" s="266"/>
      <c r="T73" s="137">
        <v>0</v>
      </c>
      <c r="U73" s="138">
        <v>0</v>
      </c>
      <c r="V73" s="137">
        <v>0</v>
      </c>
      <c r="W73" s="138">
        <v>0</v>
      </c>
      <c r="X73" s="266"/>
      <c r="Y73" s="137">
        <v>0</v>
      </c>
      <c r="Z73" s="138">
        <v>0</v>
      </c>
      <c r="AA73" s="137">
        <v>0</v>
      </c>
      <c r="AB73" s="138">
        <v>0</v>
      </c>
      <c r="AC73" s="266"/>
      <c r="AD73" s="137">
        <v>0</v>
      </c>
      <c r="AE73" s="138">
        <v>0</v>
      </c>
      <c r="AF73" s="137">
        <v>0</v>
      </c>
      <c r="AG73" s="138">
        <v>0</v>
      </c>
      <c r="AH73" s="266"/>
      <c r="AI73" s="137">
        <v>0</v>
      </c>
      <c r="AJ73" s="138">
        <v>0</v>
      </c>
      <c r="AK73" s="137">
        <f>AG73</f>
        <v>0</v>
      </c>
      <c r="AL73" s="138">
        <f>AH73</f>
        <v>0</v>
      </c>
      <c r="AM73" s="266"/>
      <c r="AN73" s="137">
        <v>0</v>
      </c>
      <c r="AO73" s="138">
        <v>0</v>
      </c>
      <c r="AP73" s="137">
        <v>0</v>
      </c>
      <c r="AQ73" s="138">
        <v>0</v>
      </c>
      <c r="AR73" s="266"/>
      <c r="AS73" s="137">
        <v>0</v>
      </c>
      <c r="AT73" s="138">
        <v>0</v>
      </c>
      <c r="AU73" s="137">
        <v>0</v>
      </c>
      <c r="AV73" s="138">
        <v>0</v>
      </c>
      <c r="AW73" s="266"/>
      <c r="AX73" s="137">
        <v>0</v>
      </c>
      <c r="AY73" s="138">
        <v>0</v>
      </c>
      <c r="AZ73" s="137">
        <v>0</v>
      </c>
      <c r="BA73" s="138">
        <v>0</v>
      </c>
      <c r="BB73" s="266"/>
      <c r="BC73" s="137">
        <v>0</v>
      </c>
      <c r="BD73" s="138">
        <v>0</v>
      </c>
      <c r="BE73" s="137">
        <v>0</v>
      </c>
      <c r="BF73" s="138">
        <v>0</v>
      </c>
      <c r="BG73" s="266"/>
      <c r="BH73" s="137">
        <v>0</v>
      </c>
      <c r="BI73" s="138">
        <v>0</v>
      </c>
      <c r="BJ73" s="137">
        <v>0</v>
      </c>
      <c r="BK73" s="411">
        <v>0</v>
      </c>
      <c r="BL73" s="215">
        <v>0</v>
      </c>
      <c r="BM73" s="216">
        <v>0</v>
      </c>
      <c r="BN73" s="117"/>
      <c r="BO73" s="117"/>
      <c r="BP73" s="117"/>
    </row>
    <row r="74" spans="1:68" ht="19.5" customHeight="1" x14ac:dyDescent="0.25">
      <c r="A74" s="260"/>
      <c r="B74" s="787" t="s">
        <v>150</v>
      </c>
      <c r="C74" s="747"/>
      <c r="D74" s="114" t="s">
        <v>155</v>
      </c>
      <c r="E74" s="213">
        <f>E71*E72</f>
        <v>0</v>
      </c>
      <c r="F74" s="214">
        <f ca="1">F71*F72</f>
        <v>7.7586542079079814</v>
      </c>
      <c r="G74" s="213">
        <f>IF(AND(DAY(Postup!$H$24)=1,MONTH(Postup!$H$24)=1),0,E74*Výpočty!$E$17)</f>
        <v>0</v>
      </c>
      <c r="H74" s="214">
        <f>IF(AND(DAY(Postup!$H$24)=1,MONTH(Postup!$H$24)=1),0,F74*Výpočty!$E$17)</f>
        <v>0</v>
      </c>
      <c r="I74" s="213">
        <f>I71*I72+I73</f>
        <v>0</v>
      </c>
      <c r="J74" s="214">
        <f>J71*J72+J73</f>
        <v>0</v>
      </c>
      <c r="K74" s="792"/>
      <c r="L74" s="793"/>
      <c r="M74" s="793"/>
      <c r="N74" s="807"/>
      <c r="O74" s="213">
        <f>O71*O72+O73</f>
        <v>0</v>
      </c>
      <c r="P74" s="214">
        <f ca="1">P71*P72+P73</f>
        <v>7.7586542079079814</v>
      </c>
      <c r="Q74" s="213">
        <f>Q71*Q72+Q73</f>
        <v>0</v>
      </c>
      <c r="R74" s="214">
        <f>R71*R72+R73</f>
        <v>0</v>
      </c>
      <c r="S74" s="266"/>
      <c r="T74" s="213">
        <f>T71*T72+T73</f>
        <v>0</v>
      </c>
      <c r="U74" s="214">
        <f ca="1">U71*U72+U73</f>
        <v>7.7586542079079814</v>
      </c>
      <c r="V74" s="213">
        <f>V71*V72+V73</f>
        <v>0</v>
      </c>
      <c r="W74" s="214">
        <f>W71*W72+W73</f>
        <v>0</v>
      </c>
      <c r="X74" s="266"/>
      <c r="Y74" s="213">
        <f>Y71*Y72+Y73</f>
        <v>0</v>
      </c>
      <c r="Z74" s="214">
        <f ca="1">Z71*Z72+Z73</f>
        <v>7.7586542079079814</v>
      </c>
      <c r="AA74" s="213">
        <f>AA71*AA72+AA73</f>
        <v>0</v>
      </c>
      <c r="AB74" s="214">
        <f>AB71*AB72+AB73</f>
        <v>0</v>
      </c>
      <c r="AC74" s="266"/>
      <c r="AD74" s="213">
        <f>AD71*AD72+AD73</f>
        <v>0</v>
      </c>
      <c r="AE74" s="214">
        <f ca="1">AE71*AE72+AE73</f>
        <v>7.7586542079079814</v>
      </c>
      <c r="AF74" s="213">
        <f>AF71*AF72+AF73</f>
        <v>0</v>
      </c>
      <c r="AG74" s="214">
        <f>AG71*AG72+AG73</f>
        <v>0</v>
      </c>
      <c r="AH74" s="266"/>
      <c r="AI74" s="213">
        <f>AI71*AI72+AI73</f>
        <v>0</v>
      </c>
      <c r="AJ74" s="214">
        <f ca="1">AJ71*AJ72+AJ73</f>
        <v>7.7586542079079814</v>
      </c>
      <c r="AK74" s="213">
        <f>AK71*AK72+AK73</f>
        <v>0</v>
      </c>
      <c r="AL74" s="214">
        <f>AL71*AL72+AL73</f>
        <v>0</v>
      </c>
      <c r="AM74" s="266"/>
      <c r="AN74" s="213">
        <f>AN71*AN72+AN73</f>
        <v>0</v>
      </c>
      <c r="AO74" s="214">
        <f ca="1">AO71*AO72+AO73</f>
        <v>7.7586542079079814</v>
      </c>
      <c r="AP74" s="213">
        <f>AP71*AP72+AP73</f>
        <v>0</v>
      </c>
      <c r="AQ74" s="214">
        <f>AQ71*AQ72+AQ73</f>
        <v>0</v>
      </c>
      <c r="AR74" s="266"/>
      <c r="AS74" s="213">
        <f>AS71*AS72+AS73</f>
        <v>0</v>
      </c>
      <c r="AT74" s="214">
        <f ca="1">AT71*AT72+AT73</f>
        <v>7.7586542079079814</v>
      </c>
      <c r="AU74" s="213">
        <f>AU71*AU72+AU73</f>
        <v>0</v>
      </c>
      <c r="AV74" s="214">
        <f>AV71*AV72+AV73</f>
        <v>0</v>
      </c>
      <c r="AW74" s="266"/>
      <c r="AX74" s="213">
        <f>AX71*AX72+AX73</f>
        <v>0</v>
      </c>
      <c r="AY74" s="214">
        <f ca="1">AY71*AY72+AY73</f>
        <v>7.7586542079079814</v>
      </c>
      <c r="AZ74" s="213">
        <f>AZ71*AZ72+AZ73</f>
        <v>0</v>
      </c>
      <c r="BA74" s="214">
        <f>BA71*BA72+BA73</f>
        <v>0</v>
      </c>
      <c r="BB74" s="266"/>
      <c r="BC74" s="213">
        <f>BC71*BC72+BC73</f>
        <v>0</v>
      </c>
      <c r="BD74" s="214">
        <f ca="1">BD71*BD72+BD73</f>
        <v>7.7586542079079814</v>
      </c>
      <c r="BE74" s="213">
        <f>BE71*BE72+BE73</f>
        <v>0</v>
      </c>
      <c r="BF74" s="214">
        <f>BF71*BF72+BF73</f>
        <v>0</v>
      </c>
      <c r="BG74" s="266"/>
      <c r="BH74" s="213">
        <f>BH71*BH72+BH73</f>
        <v>0</v>
      </c>
      <c r="BI74" s="214">
        <f ca="1">BI71*BI72+BI73</f>
        <v>7.7586542079079814</v>
      </c>
      <c r="BJ74" s="213">
        <f>BJ71*BJ72+BJ73</f>
        <v>0</v>
      </c>
      <c r="BK74" s="410">
        <f>BK71*BK72+BK73</f>
        <v>0</v>
      </c>
      <c r="BL74" s="213">
        <f>IF(AND(DAY(Postup!$H$25)=31,MONTH(Postup!$H$25)=12),0,INDEX($E74:$BP74,MATCH($BL$55,$E$55:$BP$55,0))*Výpočty!$E$23)</f>
        <v>0</v>
      </c>
      <c r="BM74" s="214">
        <f>IF(AND(DAY(Postup!$H$25)=31,MONTH(Postup!$H$25)=12),0,INDEX($E74:$BP74,MATCH($BM$55,$E$55:$BP$55,0))*Výpočty!$E$23)</f>
        <v>0</v>
      </c>
      <c r="BN74" s="117"/>
      <c r="BO74" s="117"/>
      <c r="BP74" s="117"/>
    </row>
    <row r="75" spans="1:68" ht="15" customHeight="1" x14ac:dyDescent="0.25">
      <c r="A75" s="260"/>
      <c r="B75" s="204" t="s">
        <v>188</v>
      </c>
      <c r="C75" s="205"/>
      <c r="D75" s="114" t="s">
        <v>155</v>
      </c>
      <c r="E75" s="118">
        <f>E74*E76</f>
        <v>0</v>
      </c>
      <c r="F75" s="119">
        <f ca="1">F74*F76</f>
        <v>0</v>
      </c>
      <c r="G75" s="118">
        <f>G76*G74</f>
        <v>0</v>
      </c>
      <c r="H75" s="119">
        <f>H76*H74</f>
        <v>0</v>
      </c>
      <c r="I75" s="118">
        <f>I76*I74</f>
        <v>0</v>
      </c>
      <c r="J75" s="119">
        <f>J76*J74</f>
        <v>0</v>
      </c>
      <c r="K75" s="792"/>
      <c r="L75" s="793"/>
      <c r="M75" s="793"/>
      <c r="N75" s="807"/>
      <c r="O75" s="118">
        <f>O76*O74</f>
        <v>0</v>
      </c>
      <c r="P75" s="119">
        <f ca="1">P76*P74</f>
        <v>0</v>
      </c>
      <c r="Q75" s="118">
        <f>Q76*Q74</f>
        <v>0</v>
      </c>
      <c r="R75" s="119">
        <f>R76*R74</f>
        <v>0</v>
      </c>
      <c r="S75" s="266"/>
      <c r="T75" s="118">
        <f>T76*T74</f>
        <v>0</v>
      </c>
      <c r="U75" s="119">
        <f ca="1">U76*U74</f>
        <v>0</v>
      </c>
      <c r="V75" s="118">
        <f>V76*V74</f>
        <v>0</v>
      </c>
      <c r="W75" s="119">
        <f>W76*W74</f>
        <v>0</v>
      </c>
      <c r="X75" s="266"/>
      <c r="Y75" s="118">
        <f>Y76*Y74</f>
        <v>0</v>
      </c>
      <c r="Z75" s="119">
        <f ca="1">Z76*Z74</f>
        <v>0</v>
      </c>
      <c r="AA75" s="118">
        <f>AA76*AA74</f>
        <v>0</v>
      </c>
      <c r="AB75" s="119">
        <f>AB76*AB74</f>
        <v>0</v>
      </c>
      <c r="AC75" s="266"/>
      <c r="AD75" s="118">
        <f>AD76*AD74</f>
        <v>0</v>
      </c>
      <c r="AE75" s="119">
        <f ca="1">AE76*AE74</f>
        <v>0</v>
      </c>
      <c r="AF75" s="118">
        <f>AF76*AF74</f>
        <v>0</v>
      </c>
      <c r="AG75" s="119">
        <f>AG76*AG74</f>
        <v>0</v>
      </c>
      <c r="AH75" s="266"/>
      <c r="AI75" s="118">
        <f>AI76*AI74</f>
        <v>0</v>
      </c>
      <c r="AJ75" s="119">
        <f ca="1">AJ76*AJ74</f>
        <v>0</v>
      </c>
      <c r="AK75" s="118">
        <f>AK76*AK74</f>
        <v>0</v>
      </c>
      <c r="AL75" s="119">
        <f>AL76*AL74</f>
        <v>0</v>
      </c>
      <c r="AM75" s="266"/>
      <c r="AN75" s="118">
        <f>AN76*AN74</f>
        <v>0</v>
      </c>
      <c r="AO75" s="119">
        <f ca="1">AO76*AO74</f>
        <v>0</v>
      </c>
      <c r="AP75" s="118">
        <f>AP76*AP74</f>
        <v>0</v>
      </c>
      <c r="AQ75" s="119">
        <f>AQ76*AQ74</f>
        <v>0</v>
      </c>
      <c r="AR75" s="266"/>
      <c r="AS75" s="118">
        <f>AS76*AS74</f>
        <v>0</v>
      </c>
      <c r="AT75" s="119">
        <f ca="1">AT76*AT74</f>
        <v>0</v>
      </c>
      <c r="AU75" s="118">
        <f>AU76*AU74</f>
        <v>0</v>
      </c>
      <c r="AV75" s="119">
        <f>AV76*AV74</f>
        <v>0</v>
      </c>
      <c r="AW75" s="266"/>
      <c r="AX75" s="118">
        <f>AX76*AX74</f>
        <v>0</v>
      </c>
      <c r="AY75" s="119">
        <f ca="1">AY76*AY74</f>
        <v>0</v>
      </c>
      <c r="AZ75" s="118">
        <f>AZ76*AZ74</f>
        <v>0</v>
      </c>
      <c r="BA75" s="119">
        <f>BA76*BA74</f>
        <v>0</v>
      </c>
      <c r="BB75" s="266"/>
      <c r="BC75" s="118">
        <f>BC76*BC74</f>
        <v>0</v>
      </c>
      <c r="BD75" s="119">
        <f ca="1">BD76*BD74</f>
        <v>0</v>
      </c>
      <c r="BE75" s="118">
        <f>BE76*BE74</f>
        <v>0</v>
      </c>
      <c r="BF75" s="119">
        <f>BF76*BF74</f>
        <v>0</v>
      </c>
      <c r="BG75" s="266"/>
      <c r="BH75" s="118">
        <f>BH76*BH74</f>
        <v>0</v>
      </c>
      <c r="BI75" s="119">
        <f ca="1">BI76*BI74</f>
        <v>0</v>
      </c>
      <c r="BJ75" s="118">
        <f>BJ76*BJ74</f>
        <v>0</v>
      </c>
      <c r="BK75" s="413">
        <f>BK76*BK74</f>
        <v>0</v>
      </c>
      <c r="BL75" s="197" t="s">
        <v>215</v>
      </c>
      <c r="BM75" s="198" t="s">
        <v>215</v>
      </c>
      <c r="BN75" s="117"/>
      <c r="BO75" s="117"/>
      <c r="BP75" s="117"/>
    </row>
    <row r="76" spans="1:68" x14ac:dyDescent="0.25">
      <c r="A76" s="260"/>
      <c r="B76" s="206"/>
      <c r="C76" s="207"/>
      <c r="D76" s="126" t="s">
        <v>216</v>
      </c>
      <c r="E76" s="120">
        <f>Nabídka!$P$28</f>
        <v>0</v>
      </c>
      <c r="F76" s="121">
        <f>Nabídka!$Q$28</f>
        <v>0</v>
      </c>
      <c r="G76" s="120">
        <f>IF(AND(DAY(Postup!$H$24)=1,MONTH(Postup!$H$24)=1),0,Nabídka!$P$28)</f>
        <v>0</v>
      </c>
      <c r="H76" s="121">
        <f>IF(AND(DAY(Postup!$H$24)=1,MONTH(Postup!$H$24)=1),0,Nabídka!$Q$28)</f>
        <v>0</v>
      </c>
      <c r="I76" s="120">
        <f>IF(I$16="Neaktivní",0,Nabídka!$P$28)</f>
        <v>0</v>
      </c>
      <c r="J76" s="121">
        <f>IF(I$16="Neaktivní",0,Nabídka!$Q$28)</f>
        <v>0</v>
      </c>
      <c r="K76" s="792"/>
      <c r="L76" s="793"/>
      <c r="M76" s="793"/>
      <c r="N76" s="807"/>
      <c r="O76" s="120">
        <f>Nabídka!$P$28</f>
        <v>0</v>
      </c>
      <c r="P76" s="121">
        <f>Nabídka!$Q$28</f>
        <v>0</v>
      </c>
      <c r="Q76" s="120">
        <f>IF(Q$16="Neaktivní",0,Nabídka!$P$28)</f>
        <v>0</v>
      </c>
      <c r="R76" s="121">
        <f>IF(Q$16="Neaktivní",0,Nabídka!$Q$28)</f>
        <v>0</v>
      </c>
      <c r="S76" s="263"/>
      <c r="T76" s="120">
        <f>Nabídka!$P$28</f>
        <v>0</v>
      </c>
      <c r="U76" s="121">
        <f>Nabídka!$Q$28</f>
        <v>0</v>
      </c>
      <c r="V76" s="120">
        <f>IF(V$16="Neaktivní",0,Nabídka!$P$28)</f>
        <v>0</v>
      </c>
      <c r="W76" s="121">
        <f>IF(V$16="Neaktivní",0,Nabídka!$Q$28)</f>
        <v>0</v>
      </c>
      <c r="X76" s="263"/>
      <c r="Y76" s="120">
        <f>Nabídka!$P$28</f>
        <v>0</v>
      </c>
      <c r="Z76" s="121">
        <f>Nabídka!$Q$28</f>
        <v>0</v>
      </c>
      <c r="AA76" s="120">
        <f>IF(AA$16="Neaktivní",0,Nabídka!$P$28)</f>
        <v>0</v>
      </c>
      <c r="AB76" s="121">
        <f>IF(AA$16="Neaktivní",0,Nabídka!$Q$28)</f>
        <v>0</v>
      </c>
      <c r="AC76" s="263"/>
      <c r="AD76" s="120">
        <f>Nabídka!$P$28</f>
        <v>0</v>
      </c>
      <c r="AE76" s="121">
        <f>Nabídka!$Q$28</f>
        <v>0</v>
      </c>
      <c r="AF76" s="120">
        <f>IF(AF$16="Neaktivní",0,Nabídka!$P$28)</f>
        <v>0</v>
      </c>
      <c r="AG76" s="121">
        <f>IF(AF$16="Neaktivní",0,Nabídka!$Q$28)</f>
        <v>0</v>
      </c>
      <c r="AH76" s="263"/>
      <c r="AI76" s="120">
        <f>Nabídka!$P$28</f>
        <v>0</v>
      </c>
      <c r="AJ76" s="121">
        <f>Nabídka!$Q$28</f>
        <v>0</v>
      </c>
      <c r="AK76" s="120">
        <f>IF(AK$16="Neaktivní",0,Nabídka!$P$28)</f>
        <v>0</v>
      </c>
      <c r="AL76" s="121">
        <f>IF(AK$16="Neaktivní",0,Nabídka!$Q$28)</f>
        <v>0</v>
      </c>
      <c r="AM76" s="263"/>
      <c r="AN76" s="120">
        <f>Nabídka!$P$28</f>
        <v>0</v>
      </c>
      <c r="AO76" s="121">
        <f>Nabídka!$Q$28</f>
        <v>0</v>
      </c>
      <c r="AP76" s="120">
        <f>IF(AP$16="Neaktivní",0,Nabídka!$P$28)</f>
        <v>0</v>
      </c>
      <c r="AQ76" s="121">
        <f>IF(AP$16="Neaktivní",0,Nabídka!$Q$28)</f>
        <v>0</v>
      </c>
      <c r="AR76" s="263"/>
      <c r="AS76" s="120">
        <f>Nabídka!$P$28</f>
        <v>0</v>
      </c>
      <c r="AT76" s="121">
        <f>Nabídka!$Q$28</f>
        <v>0</v>
      </c>
      <c r="AU76" s="120">
        <f>IF(AU$16="Neaktivní",0,Nabídka!$P$28)</f>
        <v>0</v>
      </c>
      <c r="AV76" s="121">
        <f>IF(AU$16="Neaktivní",0,Nabídka!$Q$28)</f>
        <v>0</v>
      </c>
      <c r="AW76" s="263"/>
      <c r="AX76" s="120">
        <f>Nabídka!$P$28</f>
        <v>0</v>
      </c>
      <c r="AY76" s="121">
        <f>Nabídka!$Q$28</f>
        <v>0</v>
      </c>
      <c r="AZ76" s="120">
        <f>IF(AZ$16="Neaktivní",0,Nabídka!$P$28)</f>
        <v>0</v>
      </c>
      <c r="BA76" s="121">
        <f>IF(AZ$16="Neaktivní",0,Nabídka!$Q$28)</f>
        <v>0</v>
      </c>
      <c r="BB76" s="263"/>
      <c r="BC76" s="120">
        <f>Nabídka!$P$28</f>
        <v>0</v>
      </c>
      <c r="BD76" s="121">
        <f>Nabídka!$Q$28</f>
        <v>0</v>
      </c>
      <c r="BE76" s="120">
        <f>IF(BE$16="Neaktivní",0,Nabídka!$P$28)</f>
        <v>0</v>
      </c>
      <c r="BF76" s="121">
        <f>IF(BE$16="Neaktivní",0,Nabídka!$Q$28)</f>
        <v>0</v>
      </c>
      <c r="BG76" s="263"/>
      <c r="BH76" s="120">
        <f>Nabídka!$P$28</f>
        <v>0</v>
      </c>
      <c r="BI76" s="121">
        <f>Nabídka!$Q$28</f>
        <v>0</v>
      </c>
      <c r="BJ76" s="120">
        <f>IF(BJ$16="Neaktivní",0,Nabídka!$P$28)</f>
        <v>0</v>
      </c>
      <c r="BK76" s="408">
        <f>IF(BJ$16="Neaktivní",0,Nabídka!$Q$28)</f>
        <v>0</v>
      </c>
      <c r="BL76" s="120">
        <f>Nabídka!$P$28</f>
        <v>0</v>
      </c>
      <c r="BM76" s="121">
        <f>Nabídka!$Q$28</f>
        <v>0</v>
      </c>
      <c r="BN76" s="422"/>
      <c r="BO76" s="422"/>
      <c r="BP76" s="422"/>
    </row>
    <row r="77" spans="1:68" ht="15.75" thickBot="1" x14ac:dyDescent="0.3">
      <c r="A77" s="260"/>
      <c r="B77" s="41" t="s">
        <v>191</v>
      </c>
      <c r="C77" s="267"/>
      <c r="D77" s="38" t="s">
        <v>155</v>
      </c>
      <c r="E77" s="122">
        <f>E74-E75</f>
        <v>0</v>
      </c>
      <c r="F77" s="123">
        <f ca="1">F74-F75</f>
        <v>7.7586542079079814</v>
      </c>
      <c r="G77" s="122">
        <f>G74-(G74*G76)</f>
        <v>0</v>
      </c>
      <c r="H77" s="123">
        <f>H74-(H74*H76)</f>
        <v>0</v>
      </c>
      <c r="I77" s="122">
        <f>I74-I75</f>
        <v>0</v>
      </c>
      <c r="J77" s="123">
        <f>J74-J75</f>
        <v>0</v>
      </c>
      <c r="K77" s="792"/>
      <c r="L77" s="793"/>
      <c r="M77" s="793"/>
      <c r="N77" s="807"/>
      <c r="O77" s="122">
        <f>O74-O75</f>
        <v>0</v>
      </c>
      <c r="P77" s="123">
        <f ca="1">P74-P75</f>
        <v>7.7586542079079814</v>
      </c>
      <c r="Q77" s="122">
        <f>Q74-Q75</f>
        <v>0</v>
      </c>
      <c r="R77" s="123">
        <f>R74-R75</f>
        <v>0</v>
      </c>
      <c r="S77" s="268"/>
      <c r="T77" s="122">
        <f>T74-T75</f>
        <v>0</v>
      </c>
      <c r="U77" s="123">
        <f ca="1">U74-U75</f>
        <v>7.7586542079079814</v>
      </c>
      <c r="V77" s="122">
        <f>V74-V75</f>
        <v>0</v>
      </c>
      <c r="W77" s="123">
        <f>W74-W75</f>
        <v>0</v>
      </c>
      <c r="X77" s="268"/>
      <c r="Y77" s="122">
        <f>Y74-Y75</f>
        <v>0</v>
      </c>
      <c r="Z77" s="123">
        <f ca="1">Z74-Z75</f>
        <v>7.7586542079079814</v>
      </c>
      <c r="AA77" s="122">
        <f>AA74-AA75</f>
        <v>0</v>
      </c>
      <c r="AB77" s="123">
        <f>AB74-AB75</f>
        <v>0</v>
      </c>
      <c r="AC77" s="268"/>
      <c r="AD77" s="122">
        <f>AD74-AD75</f>
        <v>0</v>
      </c>
      <c r="AE77" s="123">
        <f ca="1">AE74-AE75</f>
        <v>7.7586542079079814</v>
      </c>
      <c r="AF77" s="122">
        <f>AF74-AF75</f>
        <v>0</v>
      </c>
      <c r="AG77" s="123">
        <f>AG74-AG75</f>
        <v>0</v>
      </c>
      <c r="AH77" s="268"/>
      <c r="AI77" s="122">
        <f>AI74-AI75</f>
        <v>0</v>
      </c>
      <c r="AJ77" s="123">
        <f ca="1">AJ74-AJ75</f>
        <v>7.7586542079079814</v>
      </c>
      <c r="AK77" s="122">
        <f>AK74-AK75</f>
        <v>0</v>
      </c>
      <c r="AL77" s="123">
        <f>AL74-AL75</f>
        <v>0</v>
      </c>
      <c r="AM77" s="268"/>
      <c r="AN77" s="122">
        <f>AN74-AN75</f>
        <v>0</v>
      </c>
      <c r="AO77" s="123">
        <f ca="1">AO74-AO75</f>
        <v>7.7586542079079814</v>
      </c>
      <c r="AP77" s="122">
        <f>AP74-AP75</f>
        <v>0</v>
      </c>
      <c r="AQ77" s="123">
        <f>AQ74-AQ75</f>
        <v>0</v>
      </c>
      <c r="AR77" s="268"/>
      <c r="AS77" s="122">
        <f>AS74-AS75</f>
        <v>0</v>
      </c>
      <c r="AT77" s="123">
        <f ca="1">AT74-AT75</f>
        <v>7.7586542079079814</v>
      </c>
      <c r="AU77" s="122">
        <f>AU74-AU75</f>
        <v>0</v>
      </c>
      <c r="AV77" s="123">
        <f>AV74-AV75</f>
        <v>0</v>
      </c>
      <c r="AW77" s="268"/>
      <c r="AX77" s="122">
        <f>AX74-AX75</f>
        <v>0</v>
      </c>
      <c r="AY77" s="123">
        <f ca="1">AY74-AY75</f>
        <v>7.7586542079079814</v>
      </c>
      <c r="AZ77" s="122">
        <f>AZ74-AZ75</f>
        <v>0</v>
      </c>
      <c r="BA77" s="123">
        <f>BA74-BA75</f>
        <v>0</v>
      </c>
      <c r="BB77" s="268"/>
      <c r="BC77" s="122">
        <f>BC74-BC75</f>
        <v>0</v>
      </c>
      <c r="BD77" s="123">
        <f ca="1">BD74-BD75</f>
        <v>7.7586542079079814</v>
      </c>
      <c r="BE77" s="122">
        <f>BE74-BE75</f>
        <v>0</v>
      </c>
      <c r="BF77" s="123">
        <f>BF74-BF75</f>
        <v>0</v>
      </c>
      <c r="BG77" s="268"/>
      <c r="BH77" s="122">
        <f>BH74-BH75</f>
        <v>0</v>
      </c>
      <c r="BI77" s="123">
        <f ca="1">BI74-BI75</f>
        <v>7.7586542079079814</v>
      </c>
      <c r="BJ77" s="122">
        <f>BJ74-BJ75</f>
        <v>0</v>
      </c>
      <c r="BK77" s="414">
        <f>BK74-BK75</f>
        <v>0</v>
      </c>
      <c r="BL77" s="122">
        <f>BL74-(BL74*BL76)</f>
        <v>0</v>
      </c>
      <c r="BM77" s="123">
        <f>BM74-(BM74*BM76)</f>
        <v>0</v>
      </c>
      <c r="BN77" s="117"/>
      <c r="BO77" s="117"/>
      <c r="BP77" s="117"/>
    </row>
    <row r="78" spans="1:68" x14ac:dyDescent="0.25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1"/>
      <c r="O78" s="497" t="s">
        <v>317</v>
      </c>
      <c r="P78" s="497"/>
      <c r="Q78" s="498"/>
      <c r="R78" s="498"/>
      <c r="S78" s="498"/>
      <c r="T78" s="497" t="s">
        <v>317</v>
      </c>
      <c r="U78" s="182"/>
      <c r="V78" s="182"/>
      <c r="W78" s="182"/>
      <c r="X78" s="182"/>
      <c r="Y78" s="497" t="s">
        <v>317</v>
      </c>
      <c r="Z78" s="182"/>
      <c r="AA78" s="182"/>
      <c r="AB78" s="182"/>
      <c r="AC78" s="182"/>
      <c r="AD78" s="497" t="s">
        <v>317</v>
      </c>
      <c r="AE78" s="182"/>
      <c r="AF78" s="182"/>
      <c r="AG78" s="182"/>
      <c r="AH78" s="182"/>
      <c r="AI78" s="497" t="s">
        <v>317</v>
      </c>
      <c r="AN78" s="497" t="s">
        <v>317</v>
      </c>
      <c r="AS78" s="497" t="s">
        <v>317</v>
      </c>
      <c r="AX78" s="497" t="s">
        <v>317</v>
      </c>
      <c r="BC78" s="497" t="s">
        <v>317</v>
      </c>
      <c r="BH78" s="497" t="s">
        <v>317</v>
      </c>
      <c r="BN78" s="342"/>
      <c r="BO78" s="342"/>
      <c r="BP78" s="342"/>
    </row>
    <row r="79" spans="1:68" ht="15.75" thickBot="1" x14ac:dyDescent="0.3">
      <c r="A79" s="260"/>
      <c r="B79" s="361" t="s">
        <v>333</v>
      </c>
      <c r="C79" s="182"/>
      <c r="D79" s="182"/>
      <c r="E79" s="182"/>
      <c r="F79" s="182"/>
      <c r="G79" s="109"/>
      <c r="H79" s="109"/>
      <c r="K79" s="110"/>
      <c r="L79" s="110"/>
      <c r="M79" s="110"/>
      <c r="N79" s="111"/>
      <c r="O79" s="497" t="s">
        <v>322</v>
      </c>
      <c r="P79" s="497"/>
      <c r="Q79" s="498"/>
      <c r="R79" s="498"/>
      <c r="S79" s="498"/>
      <c r="T79" s="497" t="s">
        <v>322</v>
      </c>
      <c r="U79" s="182"/>
      <c r="V79" s="182"/>
      <c r="W79" s="182"/>
      <c r="X79" s="182"/>
      <c r="Y79" s="497" t="s">
        <v>322</v>
      </c>
      <c r="Z79" s="182"/>
      <c r="AA79" s="182"/>
      <c r="AB79" s="182"/>
      <c r="AC79" s="182"/>
      <c r="AD79" s="497" t="s">
        <v>322</v>
      </c>
      <c r="AE79" s="182"/>
      <c r="AF79" s="182"/>
      <c r="AG79" s="182"/>
      <c r="AH79" s="182"/>
      <c r="AI79" s="497" t="s">
        <v>322</v>
      </c>
      <c r="AN79" s="497" t="s">
        <v>322</v>
      </c>
      <c r="AS79" s="497" t="s">
        <v>322</v>
      </c>
      <c r="AX79" s="497" t="s">
        <v>322</v>
      </c>
      <c r="BC79" s="497" t="s">
        <v>322</v>
      </c>
      <c r="BH79" s="497" t="s">
        <v>322</v>
      </c>
      <c r="BN79" s="342"/>
      <c r="BO79" s="342"/>
      <c r="BP79" s="342"/>
    </row>
    <row r="80" spans="1:68" ht="24.75" customHeight="1" x14ac:dyDescent="0.25">
      <c r="A80" s="260"/>
      <c r="B80" s="182"/>
      <c r="C80" s="54"/>
      <c r="D80" s="54"/>
      <c r="E80" s="814">
        <f>E18</f>
        <v>2020</v>
      </c>
      <c r="F80" s="815"/>
      <c r="G80" s="808" t="s">
        <v>214</v>
      </c>
      <c r="H80" s="809"/>
      <c r="I80" s="797" t="str">
        <f>CONCATENATE("Aktualizace ",E80)</f>
        <v>Aktualizace 2020</v>
      </c>
      <c r="J80" s="798"/>
      <c r="K80" s="794"/>
      <c r="L80" s="795"/>
      <c r="M80" s="795"/>
      <c r="N80" s="796"/>
      <c r="O80" s="814">
        <f>O60</f>
        <v>2021</v>
      </c>
      <c r="P80" s="815"/>
      <c r="Q80" s="797" t="str">
        <f>CONCATENATE("Aktualizace ",O80)</f>
        <v>Aktualizace 2021</v>
      </c>
      <c r="R80" s="798"/>
      <c r="S80" s="182"/>
      <c r="T80" s="847">
        <f>T60</f>
        <v>2022</v>
      </c>
      <c r="U80" s="848"/>
      <c r="V80" s="797" t="str">
        <f>CONCATENATE("Aktualizace ",T80)</f>
        <v>Aktualizace 2022</v>
      </c>
      <c r="W80" s="798"/>
      <c r="X80" s="182"/>
      <c r="Y80" s="814">
        <f>Y60</f>
        <v>2023</v>
      </c>
      <c r="Z80" s="815"/>
      <c r="AA80" s="797" t="str">
        <f>CONCATENATE("Aktualizace ",Y80)</f>
        <v>Aktualizace 2023</v>
      </c>
      <c r="AB80" s="798"/>
      <c r="AC80" s="182"/>
      <c r="AD80" s="814">
        <f>AD60</f>
        <v>2024</v>
      </c>
      <c r="AE80" s="815"/>
      <c r="AF80" s="797" t="str">
        <f>CONCATENATE("Aktualizace ",AD80)</f>
        <v>Aktualizace 2024</v>
      </c>
      <c r="AG80" s="798"/>
      <c r="AH80" s="182"/>
      <c r="AI80" s="814">
        <f>AI60</f>
        <v>2025</v>
      </c>
      <c r="AJ80" s="815"/>
      <c r="AK80" s="797" t="str">
        <f>CONCATENATE("Aktualizace ",AI80)</f>
        <v>Aktualizace 2025</v>
      </c>
      <c r="AL80" s="798"/>
      <c r="AM80" s="182"/>
      <c r="AN80" s="814">
        <f>AN60</f>
        <v>2026</v>
      </c>
      <c r="AO80" s="815"/>
      <c r="AP80" s="797" t="str">
        <f>CONCATENATE("Aktualizace ",AN80)</f>
        <v>Aktualizace 2026</v>
      </c>
      <c r="AQ80" s="798"/>
      <c r="AR80" s="182"/>
      <c r="AS80" s="814">
        <f>AS60</f>
        <v>2027</v>
      </c>
      <c r="AT80" s="815"/>
      <c r="AU80" s="797" t="str">
        <f>CONCATENATE("Aktualizace ",AS80)</f>
        <v>Aktualizace 2027</v>
      </c>
      <c r="AV80" s="798"/>
      <c r="AW80" s="182"/>
      <c r="AX80" s="814">
        <f>AX60</f>
        <v>2028</v>
      </c>
      <c r="AY80" s="815"/>
      <c r="AZ80" s="797" t="str">
        <f>CONCATENATE("Aktualizace ",AX80)</f>
        <v>Aktualizace 2028</v>
      </c>
      <c r="BA80" s="798"/>
      <c r="BB80" s="182"/>
      <c r="BC80" s="814">
        <f>BC60</f>
        <v>2029</v>
      </c>
      <c r="BD80" s="815"/>
      <c r="BE80" s="797" t="str">
        <f>CONCATENATE("Aktualizace ",BC80)</f>
        <v>Aktualizace 2029</v>
      </c>
      <c r="BF80" s="798"/>
      <c r="BG80" s="182"/>
      <c r="BH80" s="814">
        <f>BH60</f>
        <v>2030</v>
      </c>
      <c r="BI80" s="815"/>
      <c r="BJ80" s="797" t="str">
        <f>CONCATENATE("Aktualizace ",BH80)</f>
        <v>Aktualizace 2030</v>
      </c>
      <c r="BK80" s="844"/>
      <c r="BL80" s="808" t="s">
        <v>245</v>
      </c>
      <c r="BM80" s="809"/>
      <c r="BN80" s="434"/>
      <c r="BO80" s="436"/>
      <c r="BP80" s="436"/>
    </row>
    <row r="81" spans="1:68" x14ac:dyDescent="0.25">
      <c r="A81" s="260"/>
      <c r="B81" s="810" t="s">
        <v>5</v>
      </c>
      <c r="C81" s="810" t="s">
        <v>81</v>
      </c>
      <c r="D81" s="812" t="s">
        <v>213</v>
      </c>
      <c r="E81" s="124" t="s">
        <v>3</v>
      </c>
      <c r="F81" s="125" t="s">
        <v>4</v>
      </c>
      <c r="G81" s="124" t="s">
        <v>3</v>
      </c>
      <c r="H81" s="125" t="s">
        <v>4</v>
      </c>
      <c r="I81" s="124" t="s">
        <v>3</v>
      </c>
      <c r="J81" s="125" t="s">
        <v>4</v>
      </c>
      <c r="K81" s="324" t="s">
        <v>118</v>
      </c>
      <c r="L81" s="325"/>
      <c r="M81" s="325"/>
      <c r="N81" s="326"/>
      <c r="O81" s="124" t="s">
        <v>3</v>
      </c>
      <c r="P81" s="125" t="s">
        <v>4</v>
      </c>
      <c r="Q81" s="124" t="s">
        <v>3</v>
      </c>
      <c r="R81" s="125" t="s">
        <v>4</v>
      </c>
      <c r="S81" s="269"/>
      <c r="T81" s="124" t="s">
        <v>3</v>
      </c>
      <c r="U81" s="125" t="s">
        <v>4</v>
      </c>
      <c r="V81" s="124" t="s">
        <v>3</v>
      </c>
      <c r="W81" s="125" t="s">
        <v>4</v>
      </c>
      <c r="X81" s="269"/>
      <c r="Y81" s="124" t="s">
        <v>3</v>
      </c>
      <c r="Z81" s="125" t="s">
        <v>4</v>
      </c>
      <c r="AA81" s="124" t="s">
        <v>3</v>
      </c>
      <c r="AB81" s="125" t="s">
        <v>4</v>
      </c>
      <c r="AC81" s="269"/>
      <c r="AD81" s="124" t="s">
        <v>3</v>
      </c>
      <c r="AE81" s="125" t="s">
        <v>4</v>
      </c>
      <c r="AF81" s="124" t="s">
        <v>3</v>
      </c>
      <c r="AG81" s="125" t="s">
        <v>4</v>
      </c>
      <c r="AH81" s="269"/>
      <c r="AI81" s="124" t="s">
        <v>3</v>
      </c>
      <c r="AJ81" s="125" t="s">
        <v>4</v>
      </c>
      <c r="AK81" s="124" t="s">
        <v>3</v>
      </c>
      <c r="AL81" s="125" t="s">
        <v>4</v>
      </c>
      <c r="AM81" s="269"/>
      <c r="AN81" s="124" t="s">
        <v>3</v>
      </c>
      <c r="AO81" s="125" t="s">
        <v>4</v>
      </c>
      <c r="AP81" s="124" t="s">
        <v>3</v>
      </c>
      <c r="AQ81" s="125" t="s">
        <v>4</v>
      </c>
      <c r="AR81" s="269"/>
      <c r="AS81" s="124" t="s">
        <v>3</v>
      </c>
      <c r="AT81" s="125" t="s">
        <v>4</v>
      </c>
      <c r="AU81" s="124" t="s">
        <v>3</v>
      </c>
      <c r="AV81" s="125" t="s">
        <v>4</v>
      </c>
      <c r="AW81" s="269"/>
      <c r="AX81" s="124" t="s">
        <v>3</v>
      </c>
      <c r="AY81" s="125" t="s">
        <v>4</v>
      </c>
      <c r="AZ81" s="124" t="s">
        <v>3</v>
      </c>
      <c r="BA81" s="125" t="s">
        <v>4</v>
      </c>
      <c r="BB81" s="269"/>
      <c r="BC81" s="124" t="s">
        <v>3</v>
      </c>
      <c r="BD81" s="125" t="s">
        <v>4</v>
      </c>
      <c r="BE81" s="124" t="s">
        <v>3</v>
      </c>
      <c r="BF81" s="125" t="s">
        <v>4</v>
      </c>
      <c r="BG81" s="269"/>
      <c r="BH81" s="124" t="s">
        <v>3</v>
      </c>
      <c r="BI81" s="125" t="s">
        <v>4</v>
      </c>
      <c r="BJ81" s="124" t="s">
        <v>3</v>
      </c>
      <c r="BK81" s="3" t="s">
        <v>4</v>
      </c>
      <c r="BL81" s="124" t="s">
        <v>3</v>
      </c>
      <c r="BM81" s="125" t="s">
        <v>4</v>
      </c>
      <c r="BN81" s="108"/>
      <c r="BO81" s="108"/>
      <c r="BP81" s="108"/>
    </row>
    <row r="82" spans="1:68" ht="15.75" thickBot="1" x14ac:dyDescent="0.3">
      <c r="A82" s="260"/>
      <c r="B82" s="811"/>
      <c r="C82" s="811"/>
      <c r="D82" s="813"/>
      <c r="E82" s="280" t="s">
        <v>7</v>
      </c>
      <c r="F82" s="281" t="s">
        <v>7</v>
      </c>
      <c r="G82" s="280" t="s">
        <v>7</v>
      </c>
      <c r="H82" s="281" t="s">
        <v>7</v>
      </c>
      <c r="I82" s="280" t="s">
        <v>7</v>
      </c>
      <c r="J82" s="281" t="s">
        <v>7</v>
      </c>
      <c r="K82" s="327"/>
      <c r="L82" s="328"/>
      <c r="M82" s="328"/>
      <c r="N82" s="329"/>
      <c r="O82" s="280" t="s">
        <v>7</v>
      </c>
      <c r="P82" s="281" t="s">
        <v>7</v>
      </c>
      <c r="Q82" s="280" t="s">
        <v>7</v>
      </c>
      <c r="R82" s="281" t="s">
        <v>7</v>
      </c>
      <c r="S82" s="270"/>
      <c r="T82" s="280" t="s">
        <v>7</v>
      </c>
      <c r="U82" s="281" t="s">
        <v>7</v>
      </c>
      <c r="V82" s="280" t="s">
        <v>7</v>
      </c>
      <c r="W82" s="281" t="s">
        <v>7</v>
      </c>
      <c r="X82" s="270"/>
      <c r="Y82" s="280" t="s">
        <v>7</v>
      </c>
      <c r="Z82" s="281" t="s">
        <v>7</v>
      </c>
      <c r="AA82" s="280" t="s">
        <v>7</v>
      </c>
      <c r="AB82" s="281" t="s">
        <v>7</v>
      </c>
      <c r="AC82" s="270"/>
      <c r="AD82" s="280" t="s">
        <v>7</v>
      </c>
      <c r="AE82" s="281" t="s">
        <v>7</v>
      </c>
      <c r="AF82" s="280" t="s">
        <v>7</v>
      </c>
      <c r="AG82" s="281" t="s">
        <v>7</v>
      </c>
      <c r="AH82" s="270"/>
      <c r="AI82" s="280" t="s">
        <v>7</v>
      </c>
      <c r="AJ82" s="281" t="s">
        <v>7</v>
      </c>
      <c r="AK82" s="280" t="s">
        <v>7</v>
      </c>
      <c r="AL82" s="281" t="s">
        <v>7</v>
      </c>
      <c r="AM82" s="270"/>
      <c r="AN82" s="280" t="s">
        <v>7</v>
      </c>
      <c r="AO82" s="281" t="s">
        <v>7</v>
      </c>
      <c r="AP82" s="280" t="s">
        <v>7</v>
      </c>
      <c r="AQ82" s="281" t="s">
        <v>7</v>
      </c>
      <c r="AR82" s="270"/>
      <c r="AS82" s="280" t="s">
        <v>7</v>
      </c>
      <c r="AT82" s="281" t="s">
        <v>7</v>
      </c>
      <c r="AU82" s="280" t="s">
        <v>7</v>
      </c>
      <c r="AV82" s="281" t="s">
        <v>7</v>
      </c>
      <c r="AW82" s="270"/>
      <c r="AX82" s="280" t="s">
        <v>7</v>
      </c>
      <c r="AY82" s="281" t="s">
        <v>7</v>
      </c>
      <c r="AZ82" s="280" t="s">
        <v>7</v>
      </c>
      <c r="BA82" s="281" t="s">
        <v>7</v>
      </c>
      <c r="BB82" s="270"/>
      <c r="BC82" s="280" t="s">
        <v>7</v>
      </c>
      <c r="BD82" s="281" t="s">
        <v>7</v>
      </c>
      <c r="BE82" s="280" t="s">
        <v>7</v>
      </c>
      <c r="BF82" s="281" t="s">
        <v>7</v>
      </c>
      <c r="BG82" s="270"/>
      <c r="BH82" s="280" t="s">
        <v>7</v>
      </c>
      <c r="BI82" s="281" t="s">
        <v>7</v>
      </c>
      <c r="BJ82" s="280" t="s">
        <v>7</v>
      </c>
      <c r="BK82" s="409" t="s">
        <v>7</v>
      </c>
      <c r="BL82" s="280" t="s">
        <v>7</v>
      </c>
      <c r="BM82" s="281" t="s">
        <v>7</v>
      </c>
      <c r="BN82" s="429"/>
      <c r="BO82" s="429"/>
      <c r="BP82" s="429"/>
    </row>
    <row r="83" spans="1:68" x14ac:dyDescent="0.25">
      <c r="A83" s="260"/>
      <c r="B83" s="47" t="s">
        <v>82</v>
      </c>
      <c r="C83" s="42" t="s">
        <v>127</v>
      </c>
      <c r="D83" s="42" t="s">
        <v>83</v>
      </c>
      <c r="E83" s="282">
        <f>IF(E47=0,0,E46/E47)</f>
        <v>0</v>
      </c>
      <c r="F83" s="283">
        <f>IF(F47=0,0,F46/F47)</f>
        <v>0</v>
      </c>
      <c r="G83" s="284">
        <f>IF(G47=0,0,G46/G47)</f>
        <v>0</v>
      </c>
      <c r="H83" s="285">
        <f>IF(H49+H51=0,0,H46/(H49+H51))</f>
        <v>0</v>
      </c>
      <c r="I83" s="284">
        <f>IF(I47=0,0,I46/I47)</f>
        <v>0</v>
      </c>
      <c r="J83" s="285">
        <f>IF(J49+J51=0,0,J46/(J49+J51))</f>
        <v>0</v>
      </c>
      <c r="K83" s="330" t="s">
        <v>120</v>
      </c>
      <c r="L83" s="330"/>
      <c r="M83" s="330"/>
      <c r="N83" s="330"/>
      <c r="O83" s="284">
        <f>IF(O47=0,0,O46/O47)</f>
        <v>0</v>
      </c>
      <c r="P83" s="285">
        <f>IF(P49+P51=0,0,P46/(P49+P51))</f>
        <v>30.714285714285712</v>
      </c>
      <c r="Q83" s="284">
        <f>IF(Q47=0,0,Q46/Q47)</f>
        <v>0</v>
      </c>
      <c r="R83" s="285">
        <f>IF(R49+R51=0,0,R46/(R49+R51))</f>
        <v>0</v>
      </c>
      <c r="S83" s="270"/>
      <c r="T83" s="284">
        <f>IF(T47=0,0,T46/T47)</f>
        <v>0</v>
      </c>
      <c r="U83" s="285">
        <f>IF(U49+U51=0,0,U46/(U49+U51))</f>
        <v>30.714285714285712</v>
      </c>
      <c r="V83" s="284">
        <f>IF(V47=0,0,V46/V47)</f>
        <v>0</v>
      </c>
      <c r="W83" s="285">
        <f>IF(W49+W51=0,0,W46/(W49+W51))</f>
        <v>0</v>
      </c>
      <c r="X83" s="270"/>
      <c r="Y83" s="284">
        <f>IF(Y47=0,0,Y46/Y47)</f>
        <v>0</v>
      </c>
      <c r="Z83" s="285">
        <f>IF(Z49+Z51=0,0,Z46/(Z49+Z51))</f>
        <v>31.428571428571423</v>
      </c>
      <c r="AA83" s="284">
        <f>IF(AA47=0,0,AA46/AA47)</f>
        <v>0</v>
      </c>
      <c r="AB83" s="285">
        <f>IF(AB49+AB51=0,0,AB46/(AB49+AB51))</f>
        <v>0</v>
      </c>
      <c r="AC83" s="270"/>
      <c r="AD83" s="284">
        <f>IF(AD47=0,0,AD46/AD47)</f>
        <v>0</v>
      </c>
      <c r="AE83" s="285">
        <f>IF(AE49+AE51=0,0,AE46/(AE49+AE51))</f>
        <v>31.428571428571423</v>
      </c>
      <c r="AF83" s="284">
        <f>IF(AF47=0,0,AF46/AF47)</f>
        <v>0</v>
      </c>
      <c r="AG83" s="285">
        <f>IF(AG49+AG51=0,0,AG46/(AG49+AG51))</f>
        <v>0</v>
      </c>
      <c r="AH83" s="270"/>
      <c r="AI83" s="284">
        <f>IF(AI47=0,0,AI46/AI47)</f>
        <v>0</v>
      </c>
      <c r="AJ83" s="285">
        <f>IF(AJ49+AJ51=0,0,AJ46/(AJ49+AJ51))</f>
        <v>20.714285714285712</v>
      </c>
      <c r="AK83" s="284">
        <f>IF(AK47=0,0,AK46/AK47)</f>
        <v>0</v>
      </c>
      <c r="AL83" s="285">
        <f>IF(AL49+AL51=0,0,AL46/(AL49+AL51))</f>
        <v>0</v>
      </c>
      <c r="AM83" s="270"/>
      <c r="AN83" s="284">
        <f>IF(AN47=0,0,AN46/AN47)</f>
        <v>0</v>
      </c>
      <c r="AO83" s="285">
        <f>IF(AO49+AO51=0,0,AO46/(AO49+AO51))</f>
        <v>20.714285714285712</v>
      </c>
      <c r="AP83" s="284">
        <f>IF(AP47=0,0,AP46/AP47)</f>
        <v>0</v>
      </c>
      <c r="AQ83" s="285">
        <f>IF(AQ49+AQ51=0,0,AQ46/(AQ49+AQ51))</f>
        <v>0</v>
      </c>
      <c r="AR83" s="270"/>
      <c r="AS83" s="284">
        <f>IF(AS47=0,0,AS46/AS47)</f>
        <v>0</v>
      </c>
      <c r="AT83" s="285">
        <f>IF(AT49+AT51=0,0,AT46/(AT49+AT51))</f>
        <v>20.714285714285712</v>
      </c>
      <c r="AU83" s="284">
        <f>IF(AU47=0,0,AU46/AU47)</f>
        <v>0</v>
      </c>
      <c r="AV83" s="285">
        <f>IF(AV49+AV51=0,0,AV46/(AV49+AV51))</f>
        <v>0</v>
      </c>
      <c r="AW83" s="270"/>
      <c r="AX83" s="284">
        <f>IF(AX47=0,0,AX46/AX47)</f>
        <v>0</v>
      </c>
      <c r="AY83" s="285">
        <f>IF(AY49+AY51=0,0,AY46/(AY49+AY51))</f>
        <v>20.714285714285712</v>
      </c>
      <c r="AZ83" s="284">
        <f>IF(AZ47=0,0,AZ46/AZ47)</f>
        <v>0</v>
      </c>
      <c r="BA83" s="285">
        <f>IF(BA49+BA51=0,0,BA46/(BA49+BA51))</f>
        <v>0</v>
      </c>
      <c r="BB83" s="270"/>
      <c r="BC83" s="284">
        <f>IF(BC47=0,0,BC46/BC47)</f>
        <v>0</v>
      </c>
      <c r="BD83" s="285">
        <f>IF(BD49+BD51=0,0,BD46/(BD49+BD51))</f>
        <v>20.714285714285712</v>
      </c>
      <c r="BE83" s="284">
        <f>IF(BE47=0,0,BE46/BE47)</f>
        <v>0</v>
      </c>
      <c r="BF83" s="285">
        <f>IF(BF49+BF51=0,0,BF46/(BF49+BF51))</f>
        <v>0</v>
      </c>
      <c r="BG83" s="270"/>
      <c r="BH83" s="284">
        <f>IF(BH47=0,0,BH46/BH47)</f>
        <v>0</v>
      </c>
      <c r="BI83" s="285">
        <f>IF(BI49+BI51=0,0,BI46/(BI49+BI51))</f>
        <v>20.714285714285712</v>
      </c>
      <c r="BJ83" s="284">
        <f>IF(BJ47=0,0,BJ46/BJ47)</f>
        <v>0</v>
      </c>
      <c r="BK83" s="285">
        <f>IF(BK49+BK51=0,0,BK46/(BK49+BK51))</f>
        <v>0</v>
      </c>
      <c r="BL83" s="284">
        <f>IF(BL47=0,0,BL46/BL47)</f>
        <v>0</v>
      </c>
      <c r="BM83" s="285">
        <f>IF(BM49+BM51=0,0,BM46/(BM49+BM51))</f>
        <v>0</v>
      </c>
      <c r="BN83" s="424"/>
      <c r="BO83" s="424"/>
      <c r="BP83" s="424"/>
    </row>
    <row r="84" spans="1:68" x14ac:dyDescent="0.25">
      <c r="A84" s="260"/>
      <c r="B84" s="47" t="s">
        <v>84</v>
      </c>
      <c r="C84" s="42" t="s">
        <v>85</v>
      </c>
      <c r="D84" s="42" t="s">
        <v>134</v>
      </c>
      <c r="E84" s="164">
        <f t="shared" ref="E84:J84" si="70">E46</f>
        <v>0</v>
      </c>
      <c r="F84" s="165">
        <f t="shared" si="70"/>
        <v>0.43</v>
      </c>
      <c r="G84" s="164">
        <f t="shared" si="70"/>
        <v>0</v>
      </c>
      <c r="H84" s="158">
        <f t="shared" si="70"/>
        <v>0</v>
      </c>
      <c r="I84" s="164">
        <f t="shared" si="70"/>
        <v>0</v>
      </c>
      <c r="J84" s="158">
        <f t="shared" si="70"/>
        <v>0</v>
      </c>
      <c r="K84" s="330" t="s">
        <v>121</v>
      </c>
      <c r="L84" s="330"/>
      <c r="M84" s="330"/>
      <c r="N84" s="330"/>
      <c r="O84" s="157">
        <f>O46</f>
        <v>0</v>
      </c>
      <c r="P84" s="158">
        <f>P46</f>
        <v>0.43</v>
      </c>
      <c r="Q84" s="164">
        <f>Q46</f>
        <v>0</v>
      </c>
      <c r="R84" s="158">
        <f>R46</f>
        <v>0</v>
      </c>
      <c r="S84" s="270"/>
      <c r="T84" s="157">
        <f>T46</f>
        <v>0</v>
      </c>
      <c r="U84" s="158">
        <f>U46</f>
        <v>0.43</v>
      </c>
      <c r="V84" s="164">
        <f>V46</f>
        <v>0</v>
      </c>
      <c r="W84" s="158">
        <f>W46</f>
        <v>0</v>
      </c>
      <c r="X84" s="270"/>
      <c r="Y84" s="157">
        <f>Y46</f>
        <v>0</v>
      </c>
      <c r="Z84" s="158">
        <f>Z46</f>
        <v>0.43999999999999995</v>
      </c>
      <c r="AA84" s="164">
        <f>AA46</f>
        <v>0</v>
      </c>
      <c r="AB84" s="158">
        <f>AB46</f>
        <v>0</v>
      </c>
      <c r="AC84" s="270"/>
      <c r="AD84" s="157">
        <f>AD46</f>
        <v>0</v>
      </c>
      <c r="AE84" s="158">
        <f>AE46</f>
        <v>0.43999999999999995</v>
      </c>
      <c r="AF84" s="164">
        <f>AF46</f>
        <v>0</v>
      </c>
      <c r="AG84" s="158">
        <f>AG46</f>
        <v>0</v>
      </c>
      <c r="AH84" s="270"/>
      <c r="AI84" s="157">
        <f>AI46</f>
        <v>0</v>
      </c>
      <c r="AJ84" s="158">
        <f>AJ46</f>
        <v>0.28999999999999998</v>
      </c>
      <c r="AK84" s="164">
        <f>AK46</f>
        <v>0</v>
      </c>
      <c r="AL84" s="158">
        <f>AL46</f>
        <v>0</v>
      </c>
      <c r="AM84" s="270"/>
      <c r="AN84" s="157">
        <f>AN46</f>
        <v>0</v>
      </c>
      <c r="AO84" s="158">
        <f>AO46</f>
        <v>0.28999999999999998</v>
      </c>
      <c r="AP84" s="164">
        <f>AP46</f>
        <v>0</v>
      </c>
      <c r="AQ84" s="158">
        <f>AQ46</f>
        <v>0</v>
      </c>
      <c r="AR84" s="270"/>
      <c r="AS84" s="157">
        <f>AS46</f>
        <v>0</v>
      </c>
      <c r="AT84" s="158">
        <f>AT46</f>
        <v>0.28999999999999998</v>
      </c>
      <c r="AU84" s="164">
        <f>AU46</f>
        <v>0</v>
      </c>
      <c r="AV84" s="158">
        <f>AV46</f>
        <v>0</v>
      </c>
      <c r="AW84" s="270"/>
      <c r="AX84" s="157">
        <f>AX46</f>
        <v>0</v>
      </c>
      <c r="AY84" s="158">
        <f>AY46</f>
        <v>0.28999999999999998</v>
      </c>
      <c r="AZ84" s="164">
        <f>AZ46</f>
        <v>0</v>
      </c>
      <c r="BA84" s="158">
        <f>BA46</f>
        <v>0</v>
      </c>
      <c r="BB84" s="270"/>
      <c r="BC84" s="157">
        <f>BC46</f>
        <v>0</v>
      </c>
      <c r="BD84" s="158">
        <f>BD46</f>
        <v>0.28999999999999998</v>
      </c>
      <c r="BE84" s="164">
        <f>BE46</f>
        <v>0</v>
      </c>
      <c r="BF84" s="158">
        <f>BF46</f>
        <v>0</v>
      </c>
      <c r="BG84" s="270"/>
      <c r="BH84" s="157">
        <f t="shared" ref="BH84:BM84" si="71">BH46</f>
        <v>0</v>
      </c>
      <c r="BI84" s="158">
        <f t="shared" si="71"/>
        <v>0.28999999999999998</v>
      </c>
      <c r="BJ84" s="164">
        <f t="shared" si="71"/>
        <v>0</v>
      </c>
      <c r="BK84" s="158">
        <f t="shared" si="71"/>
        <v>0</v>
      </c>
      <c r="BL84" s="164">
        <f t="shared" si="71"/>
        <v>0</v>
      </c>
      <c r="BM84" s="158">
        <f t="shared" si="71"/>
        <v>0</v>
      </c>
      <c r="BN84" s="184"/>
      <c r="BO84" s="184"/>
      <c r="BP84" s="184"/>
    </row>
    <row r="85" spans="1:68" x14ac:dyDescent="0.25">
      <c r="A85" s="260"/>
      <c r="B85" s="47" t="s">
        <v>86</v>
      </c>
      <c r="C85" s="42" t="s">
        <v>87</v>
      </c>
      <c r="D85" s="42" t="s">
        <v>134</v>
      </c>
      <c r="E85" s="164">
        <f t="shared" ref="E85:J85" si="72">E77/1000</f>
        <v>0</v>
      </c>
      <c r="F85" s="165">
        <f t="shared" ca="1" si="72"/>
        <v>7.758654207907981E-3</v>
      </c>
      <c r="G85" s="164">
        <f t="shared" si="72"/>
        <v>0</v>
      </c>
      <c r="H85" s="165">
        <f t="shared" si="72"/>
        <v>0</v>
      </c>
      <c r="I85" s="164">
        <f t="shared" si="72"/>
        <v>0</v>
      </c>
      <c r="J85" s="165">
        <f t="shared" si="72"/>
        <v>0</v>
      </c>
      <c r="K85" s="330"/>
      <c r="L85" s="330"/>
      <c r="M85" s="330"/>
      <c r="N85" s="330"/>
      <c r="O85" s="157">
        <f>O77/1000</f>
        <v>0</v>
      </c>
      <c r="P85" s="158">
        <f ca="1">P77/1000</f>
        <v>7.758654207907981E-3</v>
      </c>
      <c r="Q85" s="164">
        <f>Q77/1000</f>
        <v>0</v>
      </c>
      <c r="R85" s="165">
        <f>R77/1000</f>
        <v>0</v>
      </c>
      <c r="S85" s="270"/>
      <c r="T85" s="157">
        <f>T77/1000</f>
        <v>0</v>
      </c>
      <c r="U85" s="158">
        <f ca="1">U77/1000</f>
        <v>7.758654207907981E-3</v>
      </c>
      <c r="V85" s="164">
        <f>V77/1000</f>
        <v>0</v>
      </c>
      <c r="W85" s="165">
        <f>W77/1000</f>
        <v>0</v>
      </c>
      <c r="X85" s="270"/>
      <c r="Y85" s="157">
        <f>Y77/1000</f>
        <v>0</v>
      </c>
      <c r="Z85" s="158">
        <f ca="1">Z77/1000</f>
        <v>7.758654207907981E-3</v>
      </c>
      <c r="AA85" s="164">
        <f>AA77/1000</f>
        <v>0</v>
      </c>
      <c r="AB85" s="165">
        <f>AB77/1000</f>
        <v>0</v>
      </c>
      <c r="AC85" s="270"/>
      <c r="AD85" s="157">
        <f>AD77/1000</f>
        <v>0</v>
      </c>
      <c r="AE85" s="158">
        <f ca="1">AE77/1000</f>
        <v>7.758654207907981E-3</v>
      </c>
      <c r="AF85" s="164">
        <f>AF77/1000</f>
        <v>0</v>
      </c>
      <c r="AG85" s="165">
        <f>AG77/1000</f>
        <v>0</v>
      </c>
      <c r="AH85" s="270"/>
      <c r="AI85" s="157">
        <f>AI77/1000</f>
        <v>0</v>
      </c>
      <c r="AJ85" s="158">
        <f ca="1">AJ77/1000</f>
        <v>7.758654207907981E-3</v>
      </c>
      <c r="AK85" s="164">
        <f>AK77/1000</f>
        <v>0</v>
      </c>
      <c r="AL85" s="165">
        <f>AL77/1000</f>
        <v>0</v>
      </c>
      <c r="AM85" s="270"/>
      <c r="AN85" s="157">
        <f>AN77/1000</f>
        <v>0</v>
      </c>
      <c r="AO85" s="158">
        <f ca="1">AO77/1000</f>
        <v>7.758654207907981E-3</v>
      </c>
      <c r="AP85" s="164">
        <f>AP77/1000</f>
        <v>0</v>
      </c>
      <c r="AQ85" s="165">
        <f>AQ77/1000</f>
        <v>0</v>
      </c>
      <c r="AR85" s="270"/>
      <c r="AS85" s="157">
        <f>AS77/1000</f>
        <v>0</v>
      </c>
      <c r="AT85" s="158">
        <f ca="1">AT77/1000</f>
        <v>7.758654207907981E-3</v>
      </c>
      <c r="AU85" s="164">
        <f>AU77/1000</f>
        <v>0</v>
      </c>
      <c r="AV85" s="165">
        <f>AV77/1000</f>
        <v>0</v>
      </c>
      <c r="AW85" s="270"/>
      <c r="AX85" s="157">
        <f>AX77/1000</f>
        <v>0</v>
      </c>
      <c r="AY85" s="158">
        <f ca="1">AY77/1000</f>
        <v>7.758654207907981E-3</v>
      </c>
      <c r="AZ85" s="164">
        <f>AZ77/1000</f>
        <v>0</v>
      </c>
      <c r="BA85" s="165">
        <f>BA77/1000</f>
        <v>0</v>
      </c>
      <c r="BB85" s="270"/>
      <c r="BC85" s="157">
        <f>BC77/1000</f>
        <v>0</v>
      </c>
      <c r="BD85" s="158">
        <f ca="1">BD77/1000</f>
        <v>7.758654207907981E-3</v>
      </c>
      <c r="BE85" s="164">
        <f>BE77/1000</f>
        <v>0</v>
      </c>
      <c r="BF85" s="165">
        <f>BF77/1000</f>
        <v>0</v>
      </c>
      <c r="BG85" s="270"/>
      <c r="BH85" s="157">
        <f t="shared" ref="BH85:BM85" si="73">BH77/1000</f>
        <v>0</v>
      </c>
      <c r="BI85" s="158">
        <f t="shared" ca="1" si="73"/>
        <v>7.758654207907981E-3</v>
      </c>
      <c r="BJ85" s="164">
        <f t="shared" si="73"/>
        <v>0</v>
      </c>
      <c r="BK85" s="165">
        <f t="shared" si="73"/>
        <v>0</v>
      </c>
      <c r="BL85" s="164">
        <f t="shared" si="73"/>
        <v>0</v>
      </c>
      <c r="BM85" s="165">
        <f t="shared" si="73"/>
        <v>0</v>
      </c>
      <c r="BN85" s="184"/>
      <c r="BO85" s="184"/>
      <c r="BP85" s="425"/>
    </row>
    <row r="86" spans="1:68" x14ac:dyDescent="0.25">
      <c r="A86" s="260"/>
      <c r="B86" s="47" t="s">
        <v>88</v>
      </c>
      <c r="C86" s="50" t="s">
        <v>89</v>
      </c>
      <c r="D86" s="42" t="s">
        <v>90</v>
      </c>
      <c r="E86" s="168">
        <f t="shared" ref="E86:J86" si="74">IF(E84=0,0,E85/E84*100)</f>
        <v>0</v>
      </c>
      <c r="F86" s="169">
        <f t="shared" ca="1" si="74"/>
        <v>1.8043381878855771</v>
      </c>
      <c r="G86" s="211">
        <f t="shared" si="74"/>
        <v>0</v>
      </c>
      <c r="H86" s="279">
        <f t="shared" si="74"/>
        <v>0</v>
      </c>
      <c r="I86" s="211">
        <f t="shared" si="74"/>
        <v>0</v>
      </c>
      <c r="J86" s="279">
        <f t="shared" si="74"/>
        <v>0</v>
      </c>
      <c r="K86" s="330" t="s">
        <v>123</v>
      </c>
      <c r="L86" s="330"/>
      <c r="M86" s="330"/>
      <c r="N86" s="330"/>
      <c r="O86" s="168">
        <f>IF(O84=0,0,(O85/O84)*100)</f>
        <v>0</v>
      </c>
      <c r="P86" s="170">
        <f ca="1">IF(P84=0,0,(P85/P84)*100)</f>
        <v>1.8043381878855771</v>
      </c>
      <c r="Q86" s="211">
        <f>IF(Q84=0,0,Q85/Q84*100)</f>
        <v>0</v>
      </c>
      <c r="R86" s="279">
        <f>IF(R84=0,0,R85/R84*100)</f>
        <v>0</v>
      </c>
      <c r="S86" s="270"/>
      <c r="T86" s="168">
        <f>IF(T84=0,0,(T85/T84)*100)</f>
        <v>0</v>
      </c>
      <c r="U86" s="170">
        <f ca="1">IF(U84=0,0,(U85/U84)*100)</f>
        <v>1.8043381878855771</v>
      </c>
      <c r="V86" s="211">
        <f>IF(V84=0,0,V85/V84*100)</f>
        <v>0</v>
      </c>
      <c r="W86" s="279">
        <f>IF(W84=0,0,W85/W84*100)</f>
        <v>0</v>
      </c>
      <c r="X86" s="270"/>
      <c r="Y86" s="168">
        <f>IF(Y84=0,0,(Y85/Y84)*100)</f>
        <v>0</v>
      </c>
      <c r="Z86" s="170">
        <f ca="1">IF(Z84=0,0,(Z85/Z84)*100)</f>
        <v>1.7633305017972687</v>
      </c>
      <c r="AA86" s="211">
        <f>IF(AA84=0,0,AA85/AA84*100)</f>
        <v>0</v>
      </c>
      <c r="AB86" s="279">
        <f>IF(AB84=0,0,AB85/AB84*100)</f>
        <v>0</v>
      </c>
      <c r="AC86" s="270"/>
      <c r="AD86" s="168">
        <f>IF(AD84=0,0,(AD85/AD84)*100)</f>
        <v>0</v>
      </c>
      <c r="AE86" s="170">
        <f ca="1">IF(AE84=0,0,(AE85/AE84)*100)</f>
        <v>1.7633305017972687</v>
      </c>
      <c r="AF86" s="211">
        <f>IF(AF84=0,0,AF85/AF84*100)</f>
        <v>0</v>
      </c>
      <c r="AG86" s="279">
        <f>IF(AG84=0,0,AG85/AG84*100)</f>
        <v>0</v>
      </c>
      <c r="AH86" s="270"/>
      <c r="AI86" s="168">
        <f>IF(AI84=0,0,(AI85/AI84)*100)</f>
        <v>0</v>
      </c>
      <c r="AJ86" s="170">
        <f ca="1">IF(AJ84=0,0,(AJ85/AJ84)*100)</f>
        <v>2.6753980027268902</v>
      </c>
      <c r="AK86" s="211">
        <f>IF(AK84=0,0,AK85/AK84*100)</f>
        <v>0</v>
      </c>
      <c r="AL86" s="279">
        <f>IF(AL84=0,0,AL85/AL84*100)</f>
        <v>0</v>
      </c>
      <c r="AM86" s="270"/>
      <c r="AN86" s="168">
        <f>IF(AN84=0,0,(AN85/AN84)*100)</f>
        <v>0</v>
      </c>
      <c r="AO86" s="170">
        <f ca="1">IF(AO84=0,0,(AO85/AO84)*100)</f>
        <v>2.6753980027268902</v>
      </c>
      <c r="AP86" s="211">
        <f>IF(AP84=0,0,AP85/AP84*100)</f>
        <v>0</v>
      </c>
      <c r="AQ86" s="279">
        <f>IF(AQ84=0,0,AQ85/AQ84*100)</f>
        <v>0</v>
      </c>
      <c r="AR86" s="270"/>
      <c r="AS86" s="168">
        <f>IF(AS84=0,0,(AS85/AS84)*100)</f>
        <v>0</v>
      </c>
      <c r="AT86" s="170">
        <f ca="1">IF(AT84=0,0,(AT85/AT84)*100)</f>
        <v>2.6753980027268902</v>
      </c>
      <c r="AU86" s="211">
        <f>IF(AU84=0,0,AU85/AU84*100)</f>
        <v>0</v>
      </c>
      <c r="AV86" s="279">
        <f>IF(AV84=0,0,AV85/AV84*100)</f>
        <v>0</v>
      </c>
      <c r="AW86" s="270"/>
      <c r="AX86" s="168">
        <f>IF(AX84=0,0,(AX85/AX84)*100)</f>
        <v>0</v>
      </c>
      <c r="AY86" s="170">
        <f ca="1">IF(AY84=0,0,(AY85/AY84)*100)</f>
        <v>2.6753980027268902</v>
      </c>
      <c r="AZ86" s="211">
        <f>IF(AZ84=0,0,AZ85/AZ84*100)</f>
        <v>0</v>
      </c>
      <c r="BA86" s="279">
        <f>IF(BA84=0,0,BA85/BA84*100)</f>
        <v>0</v>
      </c>
      <c r="BB86" s="270"/>
      <c r="BC86" s="168">
        <f>IF(BC84=0,0,(BC85/BC84)*100)</f>
        <v>0</v>
      </c>
      <c r="BD86" s="170">
        <f ca="1">IF(BD84=0,0,(BD85/BD84)*100)</f>
        <v>2.6753980027268902</v>
      </c>
      <c r="BE86" s="211">
        <f>IF(BE84=0,0,BE85/BE84*100)</f>
        <v>0</v>
      </c>
      <c r="BF86" s="279">
        <f>IF(BF84=0,0,BF85/BF84*100)</f>
        <v>0</v>
      </c>
      <c r="BG86" s="270"/>
      <c r="BH86" s="168">
        <f>IF(BH84=0,0,(BH85/BH84)*100)</f>
        <v>0</v>
      </c>
      <c r="BI86" s="170">
        <f ca="1">IF(BI84=0,0,(BI85/BI84)*100)</f>
        <v>2.6753980027268902</v>
      </c>
      <c r="BJ86" s="211">
        <f>IF(BJ84=0,0,BJ85/BJ84*100)</f>
        <v>0</v>
      </c>
      <c r="BK86" s="279">
        <f>IF(BK84=0,0,BK85/BK84*100)</f>
        <v>0</v>
      </c>
      <c r="BL86" s="211">
        <f>IF(BL84=0,0,BL85/BL84*100)</f>
        <v>0</v>
      </c>
      <c r="BM86" s="279">
        <f>IF(BM84=0,0,BM85/BM84*100)</f>
        <v>0</v>
      </c>
      <c r="BN86" s="424"/>
      <c r="BO86" s="426"/>
      <c r="BP86" s="426"/>
    </row>
    <row r="87" spans="1:68" x14ac:dyDescent="0.25">
      <c r="A87" s="260"/>
      <c r="B87" s="47" t="s">
        <v>91</v>
      </c>
      <c r="C87" s="50" t="s">
        <v>92</v>
      </c>
      <c r="D87" s="42" t="s">
        <v>134</v>
      </c>
      <c r="E87" s="286">
        <f>Nabídka!G59</f>
        <v>0</v>
      </c>
      <c r="F87" s="287">
        <f>Nabídka!H59</f>
        <v>0</v>
      </c>
      <c r="G87" s="286">
        <v>0</v>
      </c>
      <c r="H87" s="287">
        <v>0</v>
      </c>
      <c r="I87" s="286">
        <v>0</v>
      </c>
      <c r="J87" s="287">
        <v>0</v>
      </c>
      <c r="K87" s="330"/>
      <c r="L87" s="330"/>
      <c r="M87" s="330"/>
      <c r="N87" s="330"/>
      <c r="O87" s="288">
        <v>0</v>
      </c>
      <c r="P87" s="289">
        <v>0</v>
      </c>
      <c r="Q87" s="286">
        <v>0</v>
      </c>
      <c r="R87" s="287">
        <v>0</v>
      </c>
      <c r="S87" s="270"/>
      <c r="T87" s="288">
        <v>0</v>
      </c>
      <c r="U87" s="289">
        <v>0</v>
      </c>
      <c r="V87" s="286">
        <v>0</v>
      </c>
      <c r="W87" s="287">
        <v>0</v>
      </c>
      <c r="X87" s="270"/>
      <c r="Y87" s="288">
        <v>0</v>
      </c>
      <c r="Z87" s="289">
        <v>0</v>
      </c>
      <c r="AA87" s="286">
        <v>0</v>
      </c>
      <c r="AB87" s="287">
        <v>0</v>
      </c>
      <c r="AC87" s="270"/>
      <c r="AD87" s="288">
        <v>0</v>
      </c>
      <c r="AE87" s="289">
        <v>0</v>
      </c>
      <c r="AF87" s="286">
        <v>0</v>
      </c>
      <c r="AG87" s="287">
        <v>0</v>
      </c>
      <c r="AH87" s="270"/>
      <c r="AI87" s="288">
        <v>0</v>
      </c>
      <c r="AJ87" s="289">
        <v>0</v>
      </c>
      <c r="AK87" s="286">
        <v>0</v>
      </c>
      <c r="AL87" s="287">
        <v>0</v>
      </c>
      <c r="AM87" s="270"/>
      <c r="AN87" s="288">
        <v>0</v>
      </c>
      <c r="AO87" s="289">
        <v>0</v>
      </c>
      <c r="AP87" s="286">
        <v>0</v>
      </c>
      <c r="AQ87" s="287">
        <v>0</v>
      </c>
      <c r="AR87" s="270"/>
      <c r="AS87" s="288">
        <v>0</v>
      </c>
      <c r="AT87" s="289">
        <v>0</v>
      </c>
      <c r="AU87" s="286">
        <v>0</v>
      </c>
      <c r="AV87" s="287">
        <v>0</v>
      </c>
      <c r="AW87" s="270"/>
      <c r="AX87" s="288">
        <v>0</v>
      </c>
      <c r="AY87" s="289">
        <v>0</v>
      </c>
      <c r="AZ87" s="286">
        <v>0</v>
      </c>
      <c r="BA87" s="287">
        <v>0</v>
      </c>
      <c r="BB87" s="270"/>
      <c r="BC87" s="288">
        <v>0</v>
      </c>
      <c r="BD87" s="289">
        <v>0</v>
      </c>
      <c r="BE87" s="286">
        <v>0</v>
      </c>
      <c r="BF87" s="287">
        <v>0</v>
      </c>
      <c r="BG87" s="270"/>
      <c r="BH87" s="288">
        <v>0</v>
      </c>
      <c r="BI87" s="289">
        <v>0</v>
      </c>
      <c r="BJ87" s="286">
        <v>0</v>
      </c>
      <c r="BK87" s="287">
        <v>0</v>
      </c>
      <c r="BL87" s="286">
        <v>0</v>
      </c>
      <c r="BM87" s="287">
        <v>0</v>
      </c>
      <c r="BN87" s="184"/>
      <c r="BO87" s="184"/>
      <c r="BP87" s="425"/>
    </row>
    <row r="88" spans="1:68" x14ac:dyDescent="0.25">
      <c r="A88" s="260"/>
      <c r="B88" s="47" t="s">
        <v>93</v>
      </c>
      <c r="C88" s="42" t="s">
        <v>94</v>
      </c>
      <c r="D88" s="42" t="s">
        <v>134</v>
      </c>
      <c r="E88" s="164">
        <f t="shared" ref="E88:J88" si="75">E84+E85</f>
        <v>0</v>
      </c>
      <c r="F88" s="165">
        <f t="shared" ca="1" si="75"/>
        <v>0.43775865420790799</v>
      </c>
      <c r="G88" s="164">
        <f t="shared" si="75"/>
        <v>0</v>
      </c>
      <c r="H88" s="165">
        <f t="shared" si="75"/>
        <v>0</v>
      </c>
      <c r="I88" s="164">
        <f t="shared" si="75"/>
        <v>0</v>
      </c>
      <c r="J88" s="165">
        <f t="shared" si="75"/>
        <v>0</v>
      </c>
      <c r="K88" s="330" t="s">
        <v>122</v>
      </c>
      <c r="L88" s="330"/>
      <c r="M88" s="330"/>
      <c r="N88" s="330"/>
      <c r="O88" s="164">
        <f>O84+O85</f>
        <v>0</v>
      </c>
      <c r="P88" s="158">
        <f ca="1">P84+P85</f>
        <v>0.43775865420790799</v>
      </c>
      <c r="Q88" s="164">
        <f>Q84+Q85</f>
        <v>0</v>
      </c>
      <c r="R88" s="165">
        <f>R84+R85</f>
        <v>0</v>
      </c>
      <c r="S88" s="270"/>
      <c r="T88" s="164">
        <f>T84+T85</f>
        <v>0</v>
      </c>
      <c r="U88" s="158">
        <f ca="1">U84+U85</f>
        <v>0.43775865420790799</v>
      </c>
      <c r="V88" s="164">
        <f>V84+V85</f>
        <v>0</v>
      </c>
      <c r="W88" s="165">
        <f>W84+W85</f>
        <v>0</v>
      </c>
      <c r="X88" s="270"/>
      <c r="Y88" s="164">
        <f>Y84+Y85</f>
        <v>0</v>
      </c>
      <c r="Z88" s="158">
        <f ca="1">Z84+Z85</f>
        <v>0.44775865420790795</v>
      </c>
      <c r="AA88" s="164">
        <f>AA84+AA85</f>
        <v>0</v>
      </c>
      <c r="AB88" s="165">
        <f>AB84+AB85</f>
        <v>0</v>
      </c>
      <c r="AC88" s="270"/>
      <c r="AD88" s="164">
        <f>AD84+AD85</f>
        <v>0</v>
      </c>
      <c r="AE88" s="158">
        <f ca="1">AE84+AE85</f>
        <v>0.44775865420790795</v>
      </c>
      <c r="AF88" s="164">
        <f>AF84+AF85</f>
        <v>0</v>
      </c>
      <c r="AG88" s="165">
        <f>AG84+AG85</f>
        <v>0</v>
      </c>
      <c r="AH88" s="270"/>
      <c r="AI88" s="164">
        <f>AI84+AI85</f>
        <v>0</v>
      </c>
      <c r="AJ88" s="158">
        <f ca="1">AJ84+AJ85</f>
        <v>0.29775865420790798</v>
      </c>
      <c r="AK88" s="164">
        <f>AK84+AK85</f>
        <v>0</v>
      </c>
      <c r="AL88" s="165">
        <f>AL84+AL85</f>
        <v>0</v>
      </c>
      <c r="AM88" s="270"/>
      <c r="AN88" s="164">
        <f>AN84+AN85</f>
        <v>0</v>
      </c>
      <c r="AO88" s="158">
        <f ca="1">AO84+AO85</f>
        <v>0.29775865420790798</v>
      </c>
      <c r="AP88" s="164">
        <f>AP84+AP85</f>
        <v>0</v>
      </c>
      <c r="AQ88" s="165">
        <f>AQ84+AQ85</f>
        <v>0</v>
      </c>
      <c r="AR88" s="270"/>
      <c r="AS88" s="164">
        <f>AS84+AS85</f>
        <v>0</v>
      </c>
      <c r="AT88" s="158">
        <f ca="1">AT84+AT85</f>
        <v>0.29775865420790798</v>
      </c>
      <c r="AU88" s="164">
        <f>AU84+AU85</f>
        <v>0</v>
      </c>
      <c r="AV88" s="165">
        <f>AV84+AV85</f>
        <v>0</v>
      </c>
      <c r="AW88" s="270"/>
      <c r="AX88" s="164">
        <f>AX84+AX85</f>
        <v>0</v>
      </c>
      <c r="AY88" s="158">
        <f ca="1">AY84+AY85</f>
        <v>0.29775865420790798</v>
      </c>
      <c r="AZ88" s="164">
        <f>AZ84+AZ85</f>
        <v>0</v>
      </c>
      <c r="BA88" s="165">
        <f>BA84+BA85</f>
        <v>0</v>
      </c>
      <c r="BB88" s="270"/>
      <c r="BC88" s="164">
        <f>BC84+BC85</f>
        <v>0</v>
      </c>
      <c r="BD88" s="158">
        <f ca="1">BD84+BD85</f>
        <v>0.29775865420790798</v>
      </c>
      <c r="BE88" s="164">
        <f>BE84+BE85</f>
        <v>0</v>
      </c>
      <c r="BF88" s="165">
        <f>BF84+BF85</f>
        <v>0</v>
      </c>
      <c r="BG88" s="270"/>
      <c r="BH88" s="164">
        <f t="shared" ref="BH88:BM88" si="76">BH84+BH85</f>
        <v>0</v>
      </c>
      <c r="BI88" s="158">
        <f t="shared" ca="1" si="76"/>
        <v>0.29775865420790798</v>
      </c>
      <c r="BJ88" s="164">
        <f t="shared" si="76"/>
        <v>0</v>
      </c>
      <c r="BK88" s="165">
        <f t="shared" si="76"/>
        <v>0</v>
      </c>
      <c r="BL88" s="164">
        <f t="shared" si="76"/>
        <v>0</v>
      </c>
      <c r="BM88" s="165">
        <f t="shared" si="76"/>
        <v>0</v>
      </c>
      <c r="BN88" s="184"/>
      <c r="BO88" s="184"/>
      <c r="BP88" s="425"/>
    </row>
    <row r="89" spans="1:68" x14ac:dyDescent="0.25">
      <c r="A89" s="260"/>
      <c r="B89" s="47" t="s">
        <v>95</v>
      </c>
      <c r="C89" s="42" t="s">
        <v>96</v>
      </c>
      <c r="D89" s="42" t="s">
        <v>258</v>
      </c>
      <c r="E89" s="164">
        <f>E47</f>
        <v>0</v>
      </c>
      <c r="F89" s="165">
        <f>F49+F51</f>
        <v>1.4E-2</v>
      </c>
      <c r="G89" s="164">
        <f>G47</f>
        <v>0</v>
      </c>
      <c r="H89" s="165">
        <f>H49+H51</f>
        <v>0</v>
      </c>
      <c r="I89" s="164">
        <f>I47</f>
        <v>0</v>
      </c>
      <c r="J89" s="165">
        <f>J49+J51</f>
        <v>0</v>
      </c>
      <c r="K89" s="330" t="s">
        <v>124</v>
      </c>
      <c r="L89" s="330"/>
      <c r="M89" s="330"/>
      <c r="N89" s="330"/>
      <c r="O89" s="157">
        <f>O47</f>
        <v>0</v>
      </c>
      <c r="P89" s="158">
        <f>P49+P51</f>
        <v>1.4E-2</v>
      </c>
      <c r="Q89" s="164">
        <f>Q47</f>
        <v>0</v>
      </c>
      <c r="R89" s="165">
        <f>R49+R51</f>
        <v>0</v>
      </c>
      <c r="S89" s="270"/>
      <c r="T89" s="157">
        <f>T47</f>
        <v>0</v>
      </c>
      <c r="U89" s="158">
        <f>U49+U51</f>
        <v>1.4E-2</v>
      </c>
      <c r="V89" s="164">
        <f>V47</f>
        <v>0</v>
      </c>
      <c r="W89" s="165">
        <f>W49+W51</f>
        <v>0</v>
      </c>
      <c r="X89" s="270"/>
      <c r="Y89" s="157">
        <f>Y47</f>
        <v>0</v>
      </c>
      <c r="Z89" s="158">
        <f>Z49+Z51</f>
        <v>1.4E-2</v>
      </c>
      <c r="AA89" s="164">
        <f>AA47</f>
        <v>0</v>
      </c>
      <c r="AB89" s="165">
        <f>AB49+AB51</f>
        <v>0</v>
      </c>
      <c r="AC89" s="270"/>
      <c r="AD89" s="157">
        <f>AD47</f>
        <v>0</v>
      </c>
      <c r="AE89" s="158">
        <f>AE49+AE51</f>
        <v>1.4E-2</v>
      </c>
      <c r="AF89" s="164">
        <f>AF47</f>
        <v>0</v>
      </c>
      <c r="AG89" s="165">
        <f>AG49+AG51</f>
        <v>0</v>
      </c>
      <c r="AH89" s="270"/>
      <c r="AI89" s="157">
        <f>AI47</f>
        <v>0</v>
      </c>
      <c r="AJ89" s="158">
        <f>AJ49+AJ51</f>
        <v>1.4E-2</v>
      </c>
      <c r="AK89" s="164">
        <f>AK47</f>
        <v>0</v>
      </c>
      <c r="AL89" s="165">
        <f>AL49+AL51</f>
        <v>0</v>
      </c>
      <c r="AM89" s="270"/>
      <c r="AN89" s="157">
        <f>AN47</f>
        <v>0</v>
      </c>
      <c r="AO89" s="158">
        <f>AO49+AO51</f>
        <v>1.4E-2</v>
      </c>
      <c r="AP89" s="164">
        <f>AP47</f>
        <v>0</v>
      </c>
      <c r="AQ89" s="165">
        <f>AQ49+AQ51</f>
        <v>0</v>
      </c>
      <c r="AR89" s="270"/>
      <c r="AS89" s="157">
        <f>AS47</f>
        <v>0</v>
      </c>
      <c r="AT89" s="158">
        <f>AT49+AT51</f>
        <v>1.4E-2</v>
      </c>
      <c r="AU89" s="164">
        <f>AU47</f>
        <v>0</v>
      </c>
      <c r="AV89" s="165">
        <f>AV49+AV51</f>
        <v>0</v>
      </c>
      <c r="AW89" s="270"/>
      <c r="AX89" s="157">
        <f>AX47</f>
        <v>0</v>
      </c>
      <c r="AY89" s="158">
        <f>AY49+AY51</f>
        <v>1.4E-2</v>
      </c>
      <c r="AZ89" s="164">
        <f>AZ47</f>
        <v>0</v>
      </c>
      <c r="BA89" s="165">
        <f>BA49+BA51</f>
        <v>0</v>
      </c>
      <c r="BB89" s="270"/>
      <c r="BC89" s="157">
        <f>BC47</f>
        <v>0</v>
      </c>
      <c r="BD89" s="158">
        <f>BD49+BD51</f>
        <v>1.4E-2</v>
      </c>
      <c r="BE89" s="164">
        <f>BE47</f>
        <v>0</v>
      </c>
      <c r="BF89" s="165">
        <f>BF49+BF51</f>
        <v>0</v>
      </c>
      <c r="BG89" s="270"/>
      <c r="BH89" s="157">
        <f>BH47</f>
        <v>0</v>
      </c>
      <c r="BI89" s="158">
        <f>BI49+BI51</f>
        <v>1.4E-2</v>
      </c>
      <c r="BJ89" s="164">
        <f>BJ47</f>
        <v>0</v>
      </c>
      <c r="BK89" s="165">
        <f>BK49+BK51</f>
        <v>0</v>
      </c>
      <c r="BL89" s="157">
        <f>BL47</f>
        <v>0</v>
      </c>
      <c r="BM89" s="158">
        <f>BM49+BM51</f>
        <v>0</v>
      </c>
      <c r="BN89" s="184"/>
      <c r="BO89" s="184"/>
      <c r="BP89" s="425"/>
    </row>
    <row r="90" spans="1:68" x14ac:dyDescent="0.25">
      <c r="A90" s="260"/>
      <c r="B90" s="47" t="s">
        <v>97</v>
      </c>
      <c r="C90" s="42" t="s">
        <v>98</v>
      </c>
      <c r="D90" s="42" t="s">
        <v>83</v>
      </c>
      <c r="E90" s="174">
        <f t="shared" ref="E90:J90" si="77">IF(E89=0,0,E88/E89)</f>
        <v>0</v>
      </c>
      <c r="F90" s="175">
        <f t="shared" ca="1" si="77"/>
        <v>31.268475300564855</v>
      </c>
      <c r="G90" s="178">
        <f t="shared" si="77"/>
        <v>0</v>
      </c>
      <c r="H90" s="179">
        <f t="shared" si="77"/>
        <v>0</v>
      </c>
      <c r="I90" s="178">
        <f t="shared" si="77"/>
        <v>0</v>
      </c>
      <c r="J90" s="179">
        <f t="shared" si="77"/>
        <v>0</v>
      </c>
      <c r="K90" s="330" t="s">
        <v>125</v>
      </c>
      <c r="L90" s="330"/>
      <c r="M90" s="330"/>
      <c r="N90" s="330"/>
      <c r="O90" s="178">
        <f>IF(O89=0,0,O88/O89)</f>
        <v>0</v>
      </c>
      <c r="P90" s="179">
        <f ca="1">IF(P89=0,0,P88/P89)</f>
        <v>31.268475300564855</v>
      </c>
      <c r="Q90" s="178">
        <f>IF(Q89=0,0,Q88/Q89)</f>
        <v>0</v>
      </c>
      <c r="R90" s="179">
        <f>IF(R89=0,0,R88/R89)</f>
        <v>0</v>
      </c>
      <c r="S90" s="270"/>
      <c r="T90" s="178">
        <f>IF(T89=0,0,T88/T89)</f>
        <v>0</v>
      </c>
      <c r="U90" s="179">
        <f ca="1">IF(U89=0,0,U88/U89)</f>
        <v>31.268475300564855</v>
      </c>
      <c r="V90" s="178">
        <f>IF(V89=0,0,V88/V89)</f>
        <v>0</v>
      </c>
      <c r="W90" s="179">
        <f>IF(W89=0,0,W88/W89)</f>
        <v>0</v>
      </c>
      <c r="X90" s="270"/>
      <c r="Y90" s="178">
        <f>IF(Y89=0,0,Y88/Y89)</f>
        <v>0</v>
      </c>
      <c r="Z90" s="179">
        <f ca="1">IF(Z89=0,0,Z88/Z89)</f>
        <v>31.982761014850567</v>
      </c>
      <c r="AA90" s="178">
        <f>IF(AA89=0,0,AA88/AA89)</f>
        <v>0</v>
      </c>
      <c r="AB90" s="179">
        <f>IF(AB89=0,0,AB88/AB89)</f>
        <v>0</v>
      </c>
      <c r="AC90" s="270"/>
      <c r="AD90" s="178">
        <f>IF(AD89=0,0,AD88/AD89)</f>
        <v>0</v>
      </c>
      <c r="AE90" s="179">
        <f ca="1">IF(AE89=0,0,AE88/AE89)</f>
        <v>31.982761014850567</v>
      </c>
      <c r="AF90" s="178">
        <f>IF(AF89=0,0,AF88/AF89)</f>
        <v>0</v>
      </c>
      <c r="AG90" s="179">
        <f>IF(AG89=0,0,AG88/AG89)</f>
        <v>0</v>
      </c>
      <c r="AH90" s="270"/>
      <c r="AI90" s="178">
        <f>IF(AI89=0,0,AI88/AI89)</f>
        <v>0</v>
      </c>
      <c r="AJ90" s="179">
        <f ca="1">IF(AJ89=0,0,AJ88/AJ89)</f>
        <v>21.268475300564855</v>
      </c>
      <c r="AK90" s="178">
        <f>IF(AK89=0,0,AK88/AK89)</f>
        <v>0</v>
      </c>
      <c r="AL90" s="179">
        <f>IF(AL89=0,0,AL88/AL89)</f>
        <v>0</v>
      </c>
      <c r="AM90" s="270"/>
      <c r="AN90" s="178">
        <f>IF(AN89=0,0,AN88/AN89)</f>
        <v>0</v>
      </c>
      <c r="AO90" s="179">
        <f ca="1">IF(AO89=0,0,AO88/AO89)</f>
        <v>21.268475300564855</v>
      </c>
      <c r="AP90" s="178">
        <f>IF(AP89=0,0,AP88/AP89)</f>
        <v>0</v>
      </c>
      <c r="AQ90" s="179">
        <f>IF(AQ89=0,0,AQ88/AQ89)</f>
        <v>0</v>
      </c>
      <c r="AR90" s="270"/>
      <c r="AS90" s="178">
        <f>IF(AS89=0,0,AS88/AS89)</f>
        <v>0</v>
      </c>
      <c r="AT90" s="179">
        <f ca="1">IF(AT89=0,0,AT88/AT89)</f>
        <v>21.268475300564855</v>
      </c>
      <c r="AU90" s="178">
        <f>IF(AU89=0,0,AU88/AU89)</f>
        <v>0</v>
      </c>
      <c r="AV90" s="179">
        <f>IF(AV89=0,0,AV88/AV89)</f>
        <v>0</v>
      </c>
      <c r="AW90" s="270"/>
      <c r="AX90" s="178">
        <f>IF(AX89=0,0,AX88/AX89)</f>
        <v>0</v>
      </c>
      <c r="AY90" s="179">
        <f ca="1">IF(AY89=0,0,AY88/AY89)</f>
        <v>21.268475300564855</v>
      </c>
      <c r="AZ90" s="178">
        <f>IF(AZ89=0,0,AZ88/AZ89)</f>
        <v>0</v>
      </c>
      <c r="BA90" s="179">
        <f>IF(BA89=0,0,BA88/BA89)</f>
        <v>0</v>
      </c>
      <c r="BB90" s="270"/>
      <c r="BC90" s="178">
        <f>IF(BC89=0,0,BC88/BC89)</f>
        <v>0</v>
      </c>
      <c r="BD90" s="179">
        <f ca="1">IF(BD89=0,0,BD88/BD89)</f>
        <v>21.268475300564855</v>
      </c>
      <c r="BE90" s="178">
        <f>IF(BE89=0,0,BE88/BE89)</f>
        <v>0</v>
      </c>
      <c r="BF90" s="179">
        <f>IF(BF89=0,0,BF88/BF89)</f>
        <v>0</v>
      </c>
      <c r="BG90" s="270"/>
      <c r="BH90" s="178">
        <f t="shared" ref="BH90:BM90" si="78">IF(BH89=0,0,BH88/BH89)</f>
        <v>0</v>
      </c>
      <c r="BI90" s="179">
        <f t="shared" ca="1" si="78"/>
        <v>21.268475300564855</v>
      </c>
      <c r="BJ90" s="178">
        <f t="shared" si="78"/>
        <v>0</v>
      </c>
      <c r="BK90" s="179">
        <f t="shared" si="78"/>
        <v>0</v>
      </c>
      <c r="BL90" s="178">
        <f t="shared" si="78"/>
        <v>0</v>
      </c>
      <c r="BM90" s="179">
        <f t="shared" si="78"/>
        <v>0</v>
      </c>
      <c r="BN90" s="427"/>
      <c r="BO90" s="427"/>
      <c r="BP90" s="427"/>
    </row>
    <row r="91" spans="1:68" ht="15.75" thickBot="1" x14ac:dyDescent="0.3">
      <c r="A91" s="260"/>
      <c r="B91" s="57" t="s">
        <v>99</v>
      </c>
      <c r="C91" s="173" t="s">
        <v>283</v>
      </c>
      <c r="D91" s="43" t="s">
        <v>83</v>
      </c>
      <c r="E91" s="176">
        <f>E90*(1+E93)</f>
        <v>0</v>
      </c>
      <c r="F91" s="177">
        <f ca="1">F90*(1+F93)</f>
        <v>35.958746595649579</v>
      </c>
      <c r="G91" s="176">
        <f>G90*(1+E93)</f>
        <v>0</v>
      </c>
      <c r="H91" s="181">
        <f>H90*(1+F93)</f>
        <v>0</v>
      </c>
      <c r="I91" s="176">
        <f>I90*(1+I93)</f>
        <v>0</v>
      </c>
      <c r="J91" s="181">
        <f>J90*(1+J93)</f>
        <v>0</v>
      </c>
      <c r="K91" s="330" t="s">
        <v>126</v>
      </c>
      <c r="L91" s="330"/>
      <c r="M91" s="330"/>
      <c r="N91" s="330"/>
      <c r="O91" s="180">
        <f>O90*(1+O93)</f>
        <v>0</v>
      </c>
      <c r="P91" s="181">
        <f ca="1">P90*(1+P93)</f>
        <v>35.958746595649579</v>
      </c>
      <c r="Q91" s="176">
        <f>Q90*(1+Q93)</f>
        <v>0</v>
      </c>
      <c r="R91" s="181">
        <f>R90*(1+R93)</f>
        <v>0</v>
      </c>
      <c r="S91" s="271"/>
      <c r="T91" s="180">
        <f>T90*(1+T93)</f>
        <v>0</v>
      </c>
      <c r="U91" s="181">
        <f ca="1">U90*(1+U93)</f>
        <v>35.958746595649579</v>
      </c>
      <c r="V91" s="176">
        <f>V90*(1+V93)</f>
        <v>0</v>
      </c>
      <c r="W91" s="181">
        <f>W90*(1+W93)</f>
        <v>0</v>
      </c>
      <c r="X91" s="271"/>
      <c r="Y91" s="180">
        <f>Y90*(1+Y93)</f>
        <v>0</v>
      </c>
      <c r="Z91" s="181">
        <f ca="1">Z90*(1+Z93)</f>
        <v>36.780175167078148</v>
      </c>
      <c r="AA91" s="176">
        <f>AA90*(1+AA93)</f>
        <v>0</v>
      </c>
      <c r="AB91" s="181">
        <f>AB90*(1+AB93)</f>
        <v>0</v>
      </c>
      <c r="AC91" s="271"/>
      <c r="AD91" s="180">
        <f>AD90*(1+AD93)</f>
        <v>0</v>
      </c>
      <c r="AE91" s="181">
        <f ca="1">AE90*(1+AE93)</f>
        <v>36.780175167078148</v>
      </c>
      <c r="AF91" s="176">
        <f>AF90*(1+AF93)</f>
        <v>0</v>
      </c>
      <c r="AG91" s="181">
        <f>AG90*(1+AG93)</f>
        <v>0</v>
      </c>
      <c r="AH91" s="271"/>
      <c r="AI91" s="180">
        <f>AI90*(1+AI93)</f>
        <v>0</v>
      </c>
      <c r="AJ91" s="181">
        <f ca="1">AJ90*(1+AJ93)</f>
        <v>24.458746595649583</v>
      </c>
      <c r="AK91" s="176">
        <f>AK90*(1+AK93)</f>
        <v>0</v>
      </c>
      <c r="AL91" s="181">
        <f>AL90*(1+AL93)</f>
        <v>0</v>
      </c>
      <c r="AM91" s="271"/>
      <c r="AN91" s="180">
        <f>AN90*(1+AN93)</f>
        <v>0</v>
      </c>
      <c r="AO91" s="181">
        <f ca="1">AO90*(1+AO93)</f>
        <v>24.458746595649583</v>
      </c>
      <c r="AP91" s="176">
        <f>AP90*(1+AP93)</f>
        <v>0</v>
      </c>
      <c r="AQ91" s="181">
        <f>AQ90*(1+AQ93)</f>
        <v>0</v>
      </c>
      <c r="AR91" s="271"/>
      <c r="AS91" s="180">
        <f>AS90*(1+AS93)</f>
        <v>0</v>
      </c>
      <c r="AT91" s="181">
        <f ca="1">AT90*(1+AT93)</f>
        <v>24.458746595649583</v>
      </c>
      <c r="AU91" s="176">
        <f>AU90*(1+AU93)</f>
        <v>0</v>
      </c>
      <c r="AV91" s="181">
        <f>AV90*(1+AV93)</f>
        <v>0</v>
      </c>
      <c r="AW91" s="271"/>
      <c r="AX91" s="180">
        <f>AX90*(1+AX93)</f>
        <v>0</v>
      </c>
      <c r="AY91" s="181">
        <f ca="1">AY90*(1+AY93)</f>
        <v>24.458746595649583</v>
      </c>
      <c r="AZ91" s="176">
        <f>AZ90*(1+AZ93)</f>
        <v>0</v>
      </c>
      <c r="BA91" s="181">
        <f>BA90*(1+BA93)</f>
        <v>0</v>
      </c>
      <c r="BB91" s="271"/>
      <c r="BC91" s="180">
        <f>BC90*(1+BC93)</f>
        <v>0</v>
      </c>
      <c r="BD91" s="181">
        <f ca="1">BD90*(1+BD93)</f>
        <v>24.458746595649583</v>
      </c>
      <c r="BE91" s="176">
        <f>BE90*(1+BE93)</f>
        <v>0</v>
      </c>
      <c r="BF91" s="181">
        <f>BF90*(1+BF93)</f>
        <v>0</v>
      </c>
      <c r="BG91" s="271"/>
      <c r="BH91" s="180">
        <f t="shared" ref="BH91:BM91" si="79">BH90*(1+BH93)</f>
        <v>0</v>
      </c>
      <c r="BI91" s="181">
        <f t="shared" ca="1" si="79"/>
        <v>24.458746595649583</v>
      </c>
      <c r="BJ91" s="176">
        <f t="shared" si="79"/>
        <v>0</v>
      </c>
      <c r="BK91" s="181">
        <f t="shared" si="79"/>
        <v>0</v>
      </c>
      <c r="BL91" s="176">
        <f t="shared" si="79"/>
        <v>0</v>
      </c>
      <c r="BM91" s="181">
        <f t="shared" si="79"/>
        <v>0</v>
      </c>
      <c r="BN91" s="427"/>
      <c r="BO91" s="427"/>
      <c r="BP91" s="427"/>
    </row>
    <row r="92" spans="1:68" x14ac:dyDescent="0.25">
      <c r="A92" s="260"/>
      <c r="B92" s="272"/>
      <c r="C92" s="182"/>
      <c r="D92" s="139"/>
      <c r="E92" s="140"/>
      <c r="F92" s="140"/>
      <c r="G92" s="141"/>
      <c r="H92" s="141"/>
      <c r="I92" s="142"/>
      <c r="J92" s="272"/>
      <c r="K92" s="272"/>
      <c r="L92" s="60"/>
      <c r="M92" s="109"/>
      <c r="N92" s="109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BN92" s="342"/>
      <c r="BO92" s="342"/>
      <c r="BP92" s="342"/>
    </row>
    <row r="93" spans="1:68" x14ac:dyDescent="0.25">
      <c r="A93" s="260"/>
      <c r="B93" s="802" t="s">
        <v>282</v>
      </c>
      <c r="C93" s="803"/>
      <c r="D93" s="804"/>
      <c r="E93" s="347">
        <f>Nabídka!G65</f>
        <v>0.15</v>
      </c>
      <c r="F93" s="348">
        <f>Nabídka!H65</f>
        <v>0.15</v>
      </c>
      <c r="G93" s="805"/>
      <c r="H93" s="805"/>
      <c r="I93" s="348">
        <f>E93</f>
        <v>0.15</v>
      </c>
      <c r="J93" s="348">
        <f>F93</f>
        <v>0.15</v>
      </c>
      <c r="K93" s="805"/>
      <c r="L93" s="805"/>
      <c r="M93" s="805"/>
      <c r="N93" s="805"/>
      <c r="O93" s="585">
        <v>0.15</v>
      </c>
      <c r="P93" s="585">
        <v>0.15</v>
      </c>
      <c r="Q93" s="348">
        <f>O93</f>
        <v>0.15</v>
      </c>
      <c r="R93" s="348">
        <f>P93</f>
        <v>0.15</v>
      </c>
      <c r="S93" s="353"/>
      <c r="T93" s="585">
        <v>0.15</v>
      </c>
      <c r="U93" s="585">
        <v>0.15</v>
      </c>
      <c r="V93" s="348">
        <f>T93</f>
        <v>0.15</v>
      </c>
      <c r="W93" s="348">
        <f>U93</f>
        <v>0.15</v>
      </c>
      <c r="X93" s="353"/>
      <c r="Y93" s="585">
        <v>0.15</v>
      </c>
      <c r="Z93" s="585">
        <v>0.15</v>
      </c>
      <c r="AA93" s="348">
        <f>Y93</f>
        <v>0.15</v>
      </c>
      <c r="AB93" s="348">
        <f>Z93</f>
        <v>0.15</v>
      </c>
      <c r="AC93" s="353"/>
      <c r="AD93" s="585">
        <v>0.15</v>
      </c>
      <c r="AE93" s="585">
        <v>0.15</v>
      </c>
      <c r="AF93" s="348">
        <f>AD93</f>
        <v>0.15</v>
      </c>
      <c r="AG93" s="348">
        <f>AE93</f>
        <v>0.15</v>
      </c>
      <c r="AH93" s="353"/>
      <c r="AI93" s="585">
        <v>0.15</v>
      </c>
      <c r="AJ93" s="585">
        <v>0.15</v>
      </c>
      <c r="AK93" s="348">
        <f>AI93</f>
        <v>0.15</v>
      </c>
      <c r="AL93" s="348">
        <f>AJ93</f>
        <v>0.15</v>
      </c>
      <c r="AM93" s="353"/>
      <c r="AN93" s="585">
        <v>0.15</v>
      </c>
      <c r="AO93" s="585">
        <v>0.15</v>
      </c>
      <c r="AP93" s="348">
        <f>AN93</f>
        <v>0.15</v>
      </c>
      <c r="AQ93" s="348">
        <f>AO93</f>
        <v>0.15</v>
      </c>
      <c r="AR93" s="353"/>
      <c r="AS93" s="585">
        <v>0.15</v>
      </c>
      <c r="AT93" s="585">
        <v>0.15</v>
      </c>
      <c r="AU93" s="348">
        <f>AS93</f>
        <v>0.15</v>
      </c>
      <c r="AV93" s="348">
        <f>AT93</f>
        <v>0.15</v>
      </c>
      <c r="AW93" s="353"/>
      <c r="AX93" s="585">
        <v>0.15</v>
      </c>
      <c r="AY93" s="585">
        <v>0.15</v>
      </c>
      <c r="AZ93" s="348">
        <f>AX93</f>
        <v>0.15</v>
      </c>
      <c r="BA93" s="348">
        <f>AY93</f>
        <v>0.15</v>
      </c>
      <c r="BB93" s="353"/>
      <c r="BC93" s="585">
        <v>0.15</v>
      </c>
      <c r="BD93" s="585">
        <v>0.15</v>
      </c>
      <c r="BE93" s="348">
        <f>BC93</f>
        <v>0.15</v>
      </c>
      <c r="BF93" s="348">
        <f>BD93</f>
        <v>0.15</v>
      </c>
      <c r="BG93" s="353"/>
      <c r="BH93" s="585">
        <v>0.15</v>
      </c>
      <c r="BI93" s="585">
        <v>0.15</v>
      </c>
      <c r="BJ93" s="348">
        <f>BH93</f>
        <v>0.15</v>
      </c>
      <c r="BK93" s="415">
        <f>BI93</f>
        <v>0.15</v>
      </c>
      <c r="BL93" s="347">
        <f>IF(AND(DAY(Postup!$H$25)=31,MONTH(Postup!$H$25)=12),0,INDEX($E93:$BK93,MATCH($BL$55,$E$55:$BK$55,0)))</f>
        <v>0</v>
      </c>
      <c r="BM93" s="348">
        <f>IF(AND(DAY(Postup!$H$25)=31,MONTH(Postup!$H$25)=12),0,INDEX($E93:$BP93,MATCH($BM$55,$E$55:$BP$55,0)))</f>
        <v>0</v>
      </c>
      <c r="BN93" s="428"/>
      <c r="BO93" s="428"/>
      <c r="BP93" s="428"/>
    </row>
    <row r="94" spans="1:68" x14ac:dyDescent="0.25">
      <c r="A94" s="260"/>
      <c r="B94" s="53"/>
      <c r="C94" s="182"/>
      <c r="D94" s="143"/>
      <c r="E94" s="143"/>
      <c r="F94" s="273"/>
      <c r="G94" s="273"/>
      <c r="H94" s="273"/>
      <c r="I94" s="273"/>
      <c r="J94" s="182"/>
      <c r="K94" s="182"/>
      <c r="L94" s="182"/>
      <c r="M94" s="53"/>
      <c r="N94" s="53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BL94" s="342"/>
      <c r="BM94" s="342"/>
      <c r="BN94" s="342"/>
      <c r="BO94" s="342"/>
      <c r="BP94" s="342"/>
    </row>
    <row r="95" spans="1:68" x14ac:dyDescent="0.25">
      <c r="A95" s="260"/>
      <c r="B95" s="781" t="s">
        <v>302</v>
      </c>
      <c r="C95" s="782"/>
      <c r="D95" s="782"/>
      <c r="E95" s="465">
        <f>'Kalkulace a Porovnání'!AG52</f>
        <v>0</v>
      </c>
      <c r="F95" s="360">
        <f ca="1">'Kalkulace a Porovnání'!AH52</f>
        <v>0</v>
      </c>
      <c r="G95" s="783"/>
      <c r="H95" s="784"/>
      <c r="I95" s="784"/>
      <c r="J95" s="784"/>
      <c r="K95" s="784"/>
      <c r="L95" s="784"/>
      <c r="M95" s="784"/>
      <c r="N95" s="785"/>
      <c r="O95" s="465">
        <f>'Kalkulace a Porovnání'!AG122</f>
        <v>0</v>
      </c>
      <c r="P95" s="465">
        <f ca="1">'Kalkulace a Porovnání'!AH122</f>
        <v>0</v>
      </c>
      <c r="Q95" s="783"/>
      <c r="R95" s="784"/>
      <c r="S95" s="785"/>
      <c r="T95" s="360">
        <f>'Kalkulace a Porovnání'!AG192</f>
        <v>0</v>
      </c>
      <c r="U95" s="360">
        <f ca="1">'Kalkulace a Porovnání'!AH192</f>
        <v>0</v>
      </c>
      <c r="V95" s="778"/>
      <c r="W95" s="779"/>
      <c r="X95" s="780"/>
      <c r="Y95" s="360">
        <f>'Kalkulace a Porovnání'!AG262</f>
        <v>0</v>
      </c>
      <c r="Z95" s="360">
        <f ca="1">'Kalkulace a Porovnání'!AH262</f>
        <v>0</v>
      </c>
      <c r="AA95" s="778"/>
      <c r="AB95" s="779"/>
      <c r="AC95" s="780"/>
      <c r="AD95" s="360">
        <f>'Kalkulace a Porovnání'!AG332</f>
        <v>0</v>
      </c>
      <c r="AE95" s="360">
        <f ca="1">'Kalkulace a Porovnání'!AH332</f>
        <v>0</v>
      </c>
      <c r="AF95" s="778"/>
      <c r="AG95" s="779"/>
      <c r="AH95" s="780"/>
      <c r="AI95" s="360">
        <f>'Kalkulace a Porovnání'!AG402</f>
        <v>0</v>
      </c>
      <c r="AJ95" s="360">
        <f ca="1">'Kalkulace a Porovnání'!AH402</f>
        <v>0</v>
      </c>
      <c r="AK95" s="778"/>
      <c r="AL95" s="779"/>
      <c r="AM95" s="780"/>
      <c r="AN95" s="360">
        <f>'Kalkulace a Porovnání'!AG472</f>
        <v>0</v>
      </c>
      <c r="AO95" s="360">
        <f ca="1">'Kalkulace a Porovnání'!AH472</f>
        <v>0</v>
      </c>
      <c r="AP95" s="778"/>
      <c r="AQ95" s="779"/>
      <c r="AR95" s="780"/>
      <c r="AS95" s="360">
        <f>'Kalkulace a Porovnání'!AG542</f>
        <v>0</v>
      </c>
      <c r="AT95" s="360">
        <f ca="1">'Kalkulace a Porovnání'!AH542</f>
        <v>0</v>
      </c>
      <c r="AU95" s="778"/>
      <c r="AV95" s="779"/>
      <c r="AW95" s="780"/>
      <c r="AX95" s="360">
        <f>'Kalkulace a Porovnání'!AG612</f>
        <v>0</v>
      </c>
      <c r="AY95" s="360">
        <f ca="1">'Kalkulace a Porovnání'!AH612</f>
        <v>0</v>
      </c>
      <c r="AZ95" s="778"/>
      <c r="BA95" s="779"/>
      <c r="BB95" s="780"/>
      <c r="BC95" s="360">
        <f>'Kalkulace a Porovnání'!AG682</f>
        <v>0</v>
      </c>
      <c r="BD95" s="360">
        <f ca="1">'Kalkulace a Porovnání'!AH682</f>
        <v>0</v>
      </c>
      <c r="BE95" s="778"/>
      <c r="BF95" s="779"/>
      <c r="BG95" s="780"/>
      <c r="BH95" s="360">
        <f>'Kalkulace a Porovnání'!AG752</f>
        <v>0</v>
      </c>
      <c r="BI95" s="360">
        <f ca="1">'Kalkulace a Porovnání'!AH752</f>
        <v>0</v>
      </c>
      <c r="BJ95" s="915"/>
      <c r="BK95" s="915"/>
      <c r="BL95" s="367"/>
      <c r="BM95" s="367"/>
      <c r="BN95" s="342"/>
      <c r="BO95" s="342"/>
      <c r="BP95" s="342"/>
    </row>
    <row r="96" spans="1:68" x14ac:dyDescent="0.25">
      <c r="A96" s="260"/>
      <c r="B96" s="781" t="s">
        <v>352</v>
      </c>
      <c r="C96" s="782"/>
      <c r="D96" s="806"/>
      <c r="E96" s="819">
        <v>1</v>
      </c>
      <c r="F96" s="820"/>
      <c r="G96" s="800"/>
      <c r="H96" s="800"/>
      <c r="I96" s="800"/>
      <c r="J96" s="800"/>
      <c r="K96" s="800"/>
      <c r="L96" s="800"/>
      <c r="M96" s="800"/>
      <c r="N96" s="801"/>
      <c r="O96" s="819">
        <v>1</v>
      </c>
      <c r="P96" s="820"/>
      <c r="Q96" s="566"/>
      <c r="R96" s="567"/>
      <c r="S96" s="466">
        <f>1+I10</f>
        <v>1</v>
      </c>
      <c r="T96" s="775"/>
      <c r="U96" s="776"/>
      <c r="V96" s="776"/>
      <c r="W96" s="777"/>
      <c r="X96" s="466">
        <f>1+L10-F10</f>
        <v>1</v>
      </c>
      <c r="Y96" s="775"/>
      <c r="Z96" s="776"/>
      <c r="AA96" s="776"/>
      <c r="AB96" s="777"/>
      <c r="AC96" s="466">
        <f>1+O10-I10</f>
        <v>1</v>
      </c>
      <c r="AD96" s="778"/>
      <c r="AE96" s="779"/>
      <c r="AF96" s="779"/>
      <c r="AG96" s="780"/>
      <c r="AH96" s="466">
        <f>1+R10-L10</f>
        <v>1</v>
      </c>
      <c r="AI96" s="778"/>
      <c r="AJ96" s="779"/>
      <c r="AK96" s="779"/>
      <c r="AL96" s="780"/>
      <c r="AM96" s="466">
        <f>1+U10-O10</f>
        <v>1</v>
      </c>
      <c r="AN96" s="778"/>
      <c r="AO96" s="779"/>
      <c r="AP96" s="779"/>
      <c r="AQ96" s="780"/>
      <c r="AR96" s="466">
        <f>1+X10-R10</f>
        <v>1</v>
      </c>
      <c r="AS96" s="778"/>
      <c r="AT96" s="779"/>
      <c r="AU96" s="779"/>
      <c r="AV96" s="780"/>
      <c r="AW96" s="466">
        <f>1+AA10-U10</f>
        <v>1</v>
      </c>
      <c r="AX96" s="778"/>
      <c r="AY96" s="779"/>
      <c r="AZ96" s="779"/>
      <c r="BA96" s="780"/>
      <c r="BB96" s="466">
        <f>1+AD10-X10</f>
        <v>1</v>
      </c>
      <c r="BC96" s="778"/>
      <c r="BD96" s="779"/>
      <c r="BE96" s="779"/>
      <c r="BF96" s="780"/>
      <c r="BG96" s="466">
        <f>1+AG10-AA10</f>
        <v>1</v>
      </c>
      <c r="BH96" s="778"/>
      <c r="BI96" s="780"/>
      <c r="BJ96" s="476"/>
      <c r="BK96" s="476"/>
      <c r="BL96" s="367"/>
      <c r="BM96" s="367"/>
      <c r="BN96" s="342"/>
      <c r="BO96" s="342"/>
      <c r="BP96" s="342"/>
    </row>
    <row r="97" spans="1:68" x14ac:dyDescent="0.25">
      <c r="A97" s="260"/>
      <c r="B97" s="786" t="s">
        <v>353</v>
      </c>
      <c r="C97" s="786"/>
      <c r="D97" s="786"/>
      <c r="E97" s="465">
        <f>E98*E96</f>
        <v>0</v>
      </c>
      <c r="F97" s="465">
        <f>F98*E96</f>
        <v>0</v>
      </c>
      <c r="G97" s="799"/>
      <c r="H97" s="800"/>
      <c r="I97" s="800"/>
      <c r="J97" s="800"/>
      <c r="K97" s="800"/>
      <c r="L97" s="800"/>
      <c r="M97" s="800"/>
      <c r="N97" s="801"/>
      <c r="O97" s="465">
        <f>O98*O96</f>
        <v>0</v>
      </c>
      <c r="P97" s="465">
        <f>P98*O96</f>
        <v>0</v>
      </c>
      <c r="Q97" s="799"/>
      <c r="R97" s="800"/>
      <c r="S97" s="801"/>
      <c r="T97" s="360">
        <f>E95*S96</f>
        <v>0</v>
      </c>
      <c r="U97" s="360">
        <f ca="1">F95*S96</f>
        <v>0</v>
      </c>
      <c r="V97" s="778"/>
      <c r="W97" s="779"/>
      <c r="X97" s="780"/>
      <c r="Y97" s="360">
        <f>O95*X96</f>
        <v>0</v>
      </c>
      <c r="Z97" s="360">
        <f ca="1">P95*X96</f>
        <v>0</v>
      </c>
      <c r="AA97" s="911"/>
      <c r="AB97" s="911"/>
      <c r="AC97" s="911"/>
      <c r="AD97" s="360">
        <f>T95*AC96</f>
        <v>0</v>
      </c>
      <c r="AE97" s="360">
        <f ca="1">U95*AC96</f>
        <v>0</v>
      </c>
      <c r="AF97" s="911"/>
      <c r="AG97" s="911"/>
      <c r="AH97" s="911"/>
      <c r="AI97" s="360">
        <f>Y95*AH96</f>
        <v>0</v>
      </c>
      <c r="AJ97" s="360">
        <f ca="1">Z95*AH96</f>
        <v>0</v>
      </c>
      <c r="AK97" s="778"/>
      <c r="AL97" s="779"/>
      <c r="AM97" s="780"/>
      <c r="AN97" s="360">
        <f>AD95*AM96</f>
        <v>0</v>
      </c>
      <c r="AO97" s="360">
        <f ca="1">AE95*AM96</f>
        <v>0</v>
      </c>
      <c r="AP97" s="778"/>
      <c r="AQ97" s="779"/>
      <c r="AR97" s="780"/>
      <c r="AS97" s="360">
        <f>AI95*AR96</f>
        <v>0</v>
      </c>
      <c r="AT97" s="360">
        <f ca="1">AJ95*AR96</f>
        <v>0</v>
      </c>
      <c r="AU97" s="778"/>
      <c r="AV97" s="779"/>
      <c r="AW97" s="780"/>
      <c r="AX97" s="360">
        <f>AN95*AW96</f>
        <v>0</v>
      </c>
      <c r="AY97" s="360">
        <f ca="1">AO95*AW96</f>
        <v>0</v>
      </c>
      <c r="AZ97" s="778"/>
      <c r="BA97" s="779"/>
      <c r="BB97" s="780"/>
      <c r="BC97" s="360">
        <f>AS95*BB96</f>
        <v>0</v>
      </c>
      <c r="BD97" s="360">
        <f ca="1">AT95*BB96</f>
        <v>0</v>
      </c>
      <c r="BE97" s="778"/>
      <c r="BF97" s="779"/>
      <c r="BG97" s="780"/>
      <c r="BH97" s="360">
        <f>AX95*BG96</f>
        <v>0</v>
      </c>
      <c r="BI97" s="360">
        <f ca="1">AY95*BG96</f>
        <v>0</v>
      </c>
      <c r="BL97" s="342"/>
      <c r="BM97" s="342"/>
      <c r="BN97" s="342"/>
      <c r="BO97" s="342"/>
      <c r="BP97" s="342"/>
    </row>
    <row r="98" spans="1:68" x14ac:dyDescent="0.25">
      <c r="A98" s="260"/>
      <c r="B98" s="816" t="s">
        <v>420</v>
      </c>
      <c r="C98" s="817"/>
      <c r="D98" s="817"/>
      <c r="E98" s="477">
        <v>0</v>
      </c>
      <c r="F98" s="477">
        <v>0</v>
      </c>
      <c r="G98" s="818"/>
      <c r="H98" s="818"/>
      <c r="I98" s="564" t="s">
        <v>421</v>
      </c>
      <c r="J98" s="564"/>
      <c r="K98" s="564"/>
      <c r="L98" s="551"/>
      <c r="M98" s="551"/>
      <c r="N98" s="565"/>
      <c r="O98" s="477">
        <v>0</v>
      </c>
      <c r="P98" s="477">
        <v>0</v>
      </c>
      <c r="Q98" s="562"/>
      <c r="R98" s="562"/>
      <c r="S98" s="562"/>
      <c r="T98" s="184"/>
      <c r="U98" s="184"/>
      <c r="V98" s="563"/>
      <c r="W98" s="563"/>
      <c r="X98" s="563"/>
      <c r="Y98" s="184"/>
      <c r="Z98" s="184"/>
      <c r="AA98" s="563"/>
      <c r="AB98" s="563"/>
      <c r="AC98" s="563"/>
      <c r="AD98" s="184"/>
      <c r="AE98" s="184"/>
      <c r="AF98" s="563"/>
      <c r="AG98" s="563"/>
      <c r="AH98" s="563"/>
      <c r="AI98" s="184"/>
      <c r="AJ98" s="184"/>
      <c r="AK98" s="563"/>
      <c r="AL98" s="563"/>
      <c r="AM98" s="563"/>
      <c r="AN98" s="184"/>
      <c r="AO98" s="184"/>
      <c r="AP98" s="563"/>
      <c r="AQ98" s="563"/>
      <c r="AR98" s="563"/>
      <c r="AS98" s="184"/>
      <c r="AT98" s="184"/>
      <c r="AU98" s="563"/>
      <c r="AV98" s="563"/>
      <c r="AW98" s="563"/>
      <c r="AX98" s="184"/>
      <c r="AY98" s="184"/>
      <c r="AZ98" s="563"/>
      <c r="BA98" s="563"/>
      <c r="BB98" s="563"/>
      <c r="BC98" s="184"/>
      <c r="BD98" s="184"/>
      <c r="BE98" s="563"/>
      <c r="BF98" s="563"/>
      <c r="BG98" s="563"/>
      <c r="BH98" s="184"/>
      <c r="BI98" s="184"/>
      <c r="BL98" s="342"/>
      <c r="BM98" s="342"/>
      <c r="BN98" s="342"/>
      <c r="BO98" s="342"/>
      <c r="BP98" s="342"/>
    </row>
    <row r="99" spans="1:68" x14ac:dyDescent="0.25">
      <c r="A99" s="260"/>
      <c r="B99" s="541" t="s">
        <v>350</v>
      </c>
      <c r="C99" s="251"/>
      <c r="D99" s="251"/>
      <c r="E99" s="143"/>
      <c r="F99" s="273"/>
      <c r="G99" s="273"/>
      <c r="H99" s="273"/>
      <c r="I99" s="273"/>
      <c r="J99" s="182"/>
      <c r="K99" s="182"/>
      <c r="L99" s="182"/>
      <c r="M99" s="53"/>
      <c r="N99" s="53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</row>
    <row r="100" spans="1:68" x14ac:dyDescent="0.25">
      <c r="A100" s="260"/>
      <c r="B100" s="762" t="s">
        <v>401</v>
      </c>
      <c r="C100" s="762"/>
      <c r="D100" s="762"/>
      <c r="E100" s="477">
        <v>0</v>
      </c>
      <c r="F100" s="477">
        <v>0</v>
      </c>
      <c r="G100" s="260"/>
      <c r="H100" s="260"/>
      <c r="I100" s="260"/>
      <c r="J100" s="260"/>
      <c r="K100" s="260"/>
      <c r="L100" s="260"/>
      <c r="M100" s="53"/>
      <c r="N100" s="53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</row>
    <row r="101" spans="1:68" x14ac:dyDescent="0.25">
      <c r="A101" s="260"/>
      <c r="B101" s="53"/>
      <c r="C101" s="53"/>
      <c r="D101" s="53"/>
      <c r="E101" s="53"/>
      <c r="F101" s="260"/>
      <c r="G101" s="260"/>
      <c r="H101" s="260"/>
      <c r="I101" s="260"/>
      <c r="J101" s="260"/>
      <c r="K101" s="260"/>
      <c r="L101" s="260"/>
      <c r="M101" s="53"/>
      <c r="N101" s="53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</row>
    <row r="102" spans="1:68" x14ac:dyDescent="0.25">
      <c r="A102" s="260"/>
      <c r="B102" s="53"/>
      <c r="C102" s="349"/>
      <c r="D102" s="274"/>
      <c r="E102" s="274"/>
      <c r="F102" s="260"/>
      <c r="G102" s="260"/>
      <c r="H102" s="260"/>
      <c r="I102" s="260"/>
      <c r="J102" s="260"/>
      <c r="K102" s="260"/>
      <c r="L102" s="260"/>
      <c r="M102" s="274"/>
      <c r="N102" s="274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</row>
    <row r="103" spans="1:68" x14ac:dyDescent="0.25">
      <c r="A103" s="260"/>
      <c r="B103" s="53"/>
      <c r="C103" s="350"/>
      <c r="D103" s="274"/>
      <c r="E103" s="274"/>
      <c r="F103" s="260"/>
      <c r="G103" s="260"/>
      <c r="H103" s="260"/>
      <c r="I103" s="260"/>
      <c r="J103" s="260"/>
      <c r="K103" s="260"/>
      <c r="L103" s="260"/>
      <c r="M103" s="274"/>
      <c r="N103" s="274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</row>
    <row r="104" spans="1:68" x14ac:dyDescent="0.25">
      <c r="A104" s="182"/>
      <c r="B104" s="260"/>
      <c r="C104" s="351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</row>
    <row r="105" spans="1:68" x14ac:dyDescent="0.25">
      <c r="A105" s="182"/>
      <c r="B105" s="331" t="s">
        <v>310</v>
      </c>
      <c r="C105" s="69"/>
      <c r="D105" s="69"/>
      <c r="E105" s="69"/>
      <c r="F105" s="69"/>
      <c r="G105" s="69"/>
      <c r="H105" s="69"/>
      <c r="I105" s="69"/>
      <c r="J105" s="260"/>
      <c r="K105" s="260"/>
      <c r="L105" s="260"/>
      <c r="M105" s="51"/>
      <c r="N105" s="51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</row>
    <row r="106" spans="1:68" x14ac:dyDescent="0.25">
      <c r="A106" s="182"/>
      <c r="B106" s="515" t="s">
        <v>157</v>
      </c>
      <c r="C106" s="516"/>
      <c r="D106" s="516"/>
      <c r="E106" s="516"/>
      <c r="F106" s="516"/>
      <c r="G106" s="516"/>
      <c r="H106" s="516"/>
      <c r="I106" s="517"/>
      <c r="J106" s="260"/>
      <c r="K106" s="260"/>
      <c r="L106" s="260"/>
      <c r="M106" s="51"/>
      <c r="N106" s="51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</row>
    <row r="107" spans="1:68" x14ac:dyDescent="0.25">
      <c r="A107" s="182"/>
      <c r="B107" s="518" t="s">
        <v>265</v>
      </c>
      <c r="C107" s="519"/>
      <c r="D107" s="519"/>
      <c r="E107" s="519"/>
      <c r="F107" s="519"/>
      <c r="G107" s="519"/>
      <c r="H107" s="519"/>
      <c r="I107" s="520"/>
      <c r="J107" s="53"/>
      <c r="K107" s="53"/>
      <c r="L107" s="51"/>
      <c r="M107" s="51"/>
      <c r="N107" s="51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</row>
    <row r="108" spans="1:68" x14ac:dyDescent="0.25">
      <c r="A108" s="182"/>
      <c r="B108" s="303" t="s">
        <v>226</v>
      </c>
      <c r="C108" s="304"/>
      <c r="D108" s="304"/>
      <c r="E108" s="304"/>
      <c r="F108" s="304"/>
      <c r="G108" s="304"/>
      <c r="H108" s="304"/>
      <c r="I108" s="305"/>
      <c r="J108" s="53"/>
      <c r="K108" s="53"/>
      <c r="L108" s="51"/>
      <c r="M108" s="51"/>
      <c r="N108" s="51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</row>
    <row r="109" spans="1:68" x14ac:dyDescent="0.25">
      <c r="A109" s="182"/>
      <c r="B109" s="521" t="s">
        <v>180</v>
      </c>
      <c r="C109" s="522"/>
      <c r="D109" s="522"/>
      <c r="E109" s="522"/>
      <c r="F109" s="522"/>
      <c r="G109" s="522"/>
      <c r="H109" s="522"/>
      <c r="I109" s="523"/>
      <c r="J109" s="51"/>
      <c r="K109" s="51"/>
      <c r="L109" s="51"/>
      <c r="M109" s="51"/>
      <c r="N109" s="51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</row>
    <row r="110" spans="1:68" x14ac:dyDescent="0.25">
      <c r="A110" s="182"/>
      <c r="B110" s="306" t="s">
        <v>175</v>
      </c>
      <c r="C110" s="307"/>
      <c r="D110" s="307"/>
      <c r="E110" s="307"/>
      <c r="F110" s="307"/>
      <c r="G110" s="307"/>
      <c r="H110" s="307"/>
      <c r="I110" s="308"/>
      <c r="J110" s="51"/>
      <c r="K110" s="51"/>
      <c r="L110" s="51"/>
      <c r="M110" s="51"/>
      <c r="N110" s="51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</row>
    <row r="111" spans="1:68" x14ac:dyDescent="0.25">
      <c r="B111" s="309" t="s">
        <v>211</v>
      </c>
      <c r="C111" s="310"/>
      <c r="D111" s="310"/>
      <c r="E111" s="310"/>
      <c r="F111" s="310"/>
      <c r="G111" s="310"/>
      <c r="H111" s="310"/>
      <c r="I111" s="311"/>
      <c r="J111" s="51"/>
      <c r="K111" s="51"/>
      <c r="L111" s="51"/>
      <c r="M111" s="51"/>
      <c r="N111" s="51"/>
    </row>
    <row r="112" spans="1:68" x14ac:dyDescent="0.25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2:14" x14ac:dyDescent="0.25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2:14" x14ac:dyDescent="0.25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</sheetData>
  <sheetProtection password="B65E" sheet="1" objects="1" scenarios="1"/>
  <sortState ref="B5:C13">
    <sortCondition ref="B5"/>
  </sortState>
  <mergeCells count="275">
    <mergeCell ref="BE95:BG95"/>
    <mergeCell ref="BE97:BG97"/>
    <mergeCell ref="BC96:BF96"/>
    <mergeCell ref="BJ95:BK95"/>
    <mergeCell ref="BH96:BI96"/>
    <mergeCell ref="AP95:AR95"/>
    <mergeCell ref="AN96:AQ96"/>
    <mergeCell ref="AK97:AM97"/>
    <mergeCell ref="AP97:AR97"/>
    <mergeCell ref="AS96:AV96"/>
    <mergeCell ref="AU95:AW95"/>
    <mergeCell ref="AU97:AW97"/>
    <mergeCell ref="AX96:BA96"/>
    <mergeCell ref="AZ95:BB95"/>
    <mergeCell ref="AZ97:BB97"/>
    <mergeCell ref="Y96:AB96"/>
    <mergeCell ref="AA95:AC95"/>
    <mergeCell ref="AD96:AG96"/>
    <mergeCell ref="AF95:AH95"/>
    <mergeCell ref="AI96:AL96"/>
    <mergeCell ref="AK95:AM95"/>
    <mergeCell ref="AA97:AC97"/>
    <mergeCell ref="AF97:AH97"/>
    <mergeCell ref="AR57:AT57"/>
    <mergeCell ref="X57:Z57"/>
    <mergeCell ref="AC57:AE57"/>
    <mergeCell ref="AH57:AJ57"/>
    <mergeCell ref="K57:P57"/>
    <mergeCell ref="AW57:AY57"/>
    <mergeCell ref="BB57:BD57"/>
    <mergeCell ref="BG57:BI57"/>
    <mergeCell ref="S57:U57"/>
    <mergeCell ref="I16:J16"/>
    <mergeCell ref="I60:J60"/>
    <mergeCell ref="I80:J80"/>
    <mergeCell ref="K48:M48"/>
    <mergeCell ref="K49:M49"/>
    <mergeCell ref="K50:M50"/>
    <mergeCell ref="K51:M51"/>
    <mergeCell ref="K52:M52"/>
    <mergeCell ref="K53:M53"/>
    <mergeCell ref="K54:M54"/>
    <mergeCell ref="I18:J18"/>
    <mergeCell ref="I19:J19"/>
    <mergeCell ref="K39:M39"/>
    <mergeCell ref="K40:M40"/>
    <mergeCell ref="K41:M41"/>
    <mergeCell ref="K42:M42"/>
    <mergeCell ref="K43:M43"/>
    <mergeCell ref="K44:M44"/>
    <mergeCell ref="K45:M45"/>
    <mergeCell ref="V16:W16"/>
    <mergeCell ref="AA16:AB16"/>
    <mergeCell ref="K38:M38"/>
    <mergeCell ref="K18:M21"/>
    <mergeCell ref="K22:M22"/>
    <mergeCell ref="AG3:AG4"/>
    <mergeCell ref="AE4:AE5"/>
    <mergeCell ref="AF4:AF5"/>
    <mergeCell ref="O18:P19"/>
    <mergeCell ref="AF16:AG16"/>
    <mergeCell ref="AD3:AD4"/>
    <mergeCell ref="AB4:AB5"/>
    <mergeCell ref="AC4:AC5"/>
    <mergeCell ref="Q18:R18"/>
    <mergeCell ref="Q19:R19"/>
    <mergeCell ref="V18:W18"/>
    <mergeCell ref="V19:W19"/>
    <mergeCell ref="AA18:AB18"/>
    <mergeCell ref="X18:X20"/>
    <mergeCell ref="AA19:AB19"/>
    <mergeCell ref="K23:M23"/>
    <mergeCell ref="K25:M25"/>
    <mergeCell ref="K26:M26"/>
    <mergeCell ref="K27:M27"/>
    <mergeCell ref="V4:V5"/>
    <mergeCell ref="W4:W5"/>
    <mergeCell ref="AA3:AA4"/>
    <mergeCell ref="Y4:Y5"/>
    <mergeCell ref="Z4:Z5"/>
    <mergeCell ref="K4:K5"/>
    <mergeCell ref="X3:X4"/>
    <mergeCell ref="B7:C7"/>
    <mergeCell ref="B8:C8"/>
    <mergeCell ref="B6:C6"/>
    <mergeCell ref="F3:F4"/>
    <mergeCell ref="I3:I4"/>
    <mergeCell ref="L3:L4"/>
    <mergeCell ref="O3:O4"/>
    <mergeCell ref="R3:R4"/>
    <mergeCell ref="U3:U4"/>
    <mergeCell ref="M4:M5"/>
    <mergeCell ref="S4:S5"/>
    <mergeCell ref="P4:P5"/>
    <mergeCell ref="J4:J5"/>
    <mergeCell ref="E4:E5"/>
    <mergeCell ref="H4:H5"/>
    <mergeCell ref="G4:G5"/>
    <mergeCell ref="T4:T5"/>
    <mergeCell ref="K36:M36"/>
    <mergeCell ref="N18:N20"/>
    <mergeCell ref="K46:M46"/>
    <mergeCell ref="K47:M47"/>
    <mergeCell ref="K30:M30"/>
    <mergeCell ref="K31:M31"/>
    <mergeCell ref="K37:M37"/>
    <mergeCell ref="K60:N61"/>
    <mergeCell ref="B14:C14"/>
    <mergeCell ref="B18:B21"/>
    <mergeCell ref="E60:F60"/>
    <mergeCell ref="G60:H60"/>
    <mergeCell ref="D60:D61"/>
    <mergeCell ref="B60:C61"/>
    <mergeCell ref="B56:C56"/>
    <mergeCell ref="C18:C21"/>
    <mergeCell ref="D18:D21"/>
    <mergeCell ref="E18:F19"/>
    <mergeCell ref="G18:H19"/>
    <mergeCell ref="K28:M28"/>
    <mergeCell ref="K29:M29"/>
    <mergeCell ref="D56:H56"/>
    <mergeCell ref="D57:H57"/>
    <mergeCell ref="K56:N56"/>
    <mergeCell ref="Q4:Q5"/>
    <mergeCell ref="N4:N5"/>
    <mergeCell ref="Q16:R16"/>
    <mergeCell ref="B16:H17"/>
    <mergeCell ref="K32:M32"/>
    <mergeCell ref="K33:M33"/>
    <mergeCell ref="K34:M34"/>
    <mergeCell ref="K35:M35"/>
    <mergeCell ref="K24:M24"/>
    <mergeCell ref="AM18:AM20"/>
    <mergeCell ref="AF18:AG18"/>
    <mergeCell ref="T80:U80"/>
    <mergeCell ref="Y60:Z60"/>
    <mergeCell ref="S65:S66"/>
    <mergeCell ref="S67:S68"/>
    <mergeCell ref="S18:S20"/>
    <mergeCell ref="T18:U19"/>
    <mergeCell ref="AF19:AG19"/>
    <mergeCell ref="AH18:AH20"/>
    <mergeCell ref="AI18:AJ19"/>
    <mergeCell ref="AK18:AL18"/>
    <mergeCell ref="AK19:AL19"/>
    <mergeCell ref="AM57:AO57"/>
    <mergeCell ref="Y18:Z19"/>
    <mergeCell ref="AM65:AM66"/>
    <mergeCell ref="AM67:AM68"/>
    <mergeCell ref="AC18:AC20"/>
    <mergeCell ref="AD18:AE19"/>
    <mergeCell ref="T60:U60"/>
    <mergeCell ref="BJ60:BK60"/>
    <mergeCell ref="BE60:BF60"/>
    <mergeCell ref="BC60:BD60"/>
    <mergeCell ref="Q60:R60"/>
    <mergeCell ref="V60:W60"/>
    <mergeCell ref="V80:W80"/>
    <mergeCell ref="AA80:AB80"/>
    <mergeCell ref="AF80:AG80"/>
    <mergeCell ref="AK80:AL80"/>
    <mergeCell ref="AW67:AW68"/>
    <mergeCell ref="AX80:AY80"/>
    <mergeCell ref="BJ80:BK80"/>
    <mergeCell ref="AS80:AT80"/>
    <mergeCell ref="AX60:AY60"/>
    <mergeCell ref="AW65:AW66"/>
    <mergeCell ref="AU60:AV60"/>
    <mergeCell ref="BB65:BB66"/>
    <mergeCell ref="BB67:BB68"/>
    <mergeCell ref="BC80:BD80"/>
    <mergeCell ref="BH60:BI60"/>
    <mergeCell ref="BG65:BG66"/>
    <mergeCell ref="BG67:BG68"/>
    <mergeCell ref="BH80:BI80"/>
    <mergeCell ref="AZ60:BA60"/>
    <mergeCell ref="AK16:AL16"/>
    <mergeCell ref="AP16:AQ16"/>
    <mergeCell ref="AU16:AV16"/>
    <mergeCell ref="AZ16:BA16"/>
    <mergeCell ref="BE16:BF16"/>
    <mergeCell ref="BL80:BM80"/>
    <mergeCell ref="X65:X66"/>
    <mergeCell ref="X67:X68"/>
    <mergeCell ref="BL60:BM60"/>
    <mergeCell ref="AI60:AJ60"/>
    <mergeCell ref="AC65:AC66"/>
    <mergeCell ref="AC67:AC68"/>
    <mergeCell ref="AN60:AO60"/>
    <mergeCell ref="AH65:AH66"/>
    <mergeCell ref="AH67:AH68"/>
    <mergeCell ref="Y80:Z80"/>
    <mergeCell ref="AD80:AE80"/>
    <mergeCell ref="AI80:AJ80"/>
    <mergeCell ref="AN80:AO80"/>
    <mergeCell ref="AD60:AE60"/>
    <mergeCell ref="AZ80:BA80"/>
    <mergeCell ref="BE80:BF80"/>
    <mergeCell ref="AK60:AL60"/>
    <mergeCell ref="AP60:AQ60"/>
    <mergeCell ref="BJ16:BK16"/>
    <mergeCell ref="BO16:BP16"/>
    <mergeCell ref="AN18:AO19"/>
    <mergeCell ref="BE18:BF18"/>
    <mergeCell ref="BG18:BG20"/>
    <mergeCell ref="BH18:BI19"/>
    <mergeCell ref="BE19:BF19"/>
    <mergeCell ref="BJ18:BK18"/>
    <mergeCell ref="BJ19:BK19"/>
    <mergeCell ref="AR18:AR20"/>
    <mergeCell ref="AU18:AV18"/>
    <mergeCell ref="AW18:AW20"/>
    <mergeCell ref="AX18:AY19"/>
    <mergeCell ref="AU19:AV19"/>
    <mergeCell ref="AZ18:BA18"/>
    <mergeCell ref="BL18:BM18"/>
    <mergeCell ref="BL19:BM19"/>
    <mergeCell ref="AZ19:BA19"/>
    <mergeCell ref="AS18:AT19"/>
    <mergeCell ref="AP18:AQ18"/>
    <mergeCell ref="AP19:AQ19"/>
    <mergeCell ref="BB18:BB20"/>
    <mergeCell ref="BC18:BD19"/>
    <mergeCell ref="O60:P60"/>
    <mergeCell ref="AP80:AQ80"/>
    <mergeCell ref="AU80:AV80"/>
    <mergeCell ref="O80:P80"/>
    <mergeCell ref="AS60:AT60"/>
    <mergeCell ref="AR65:AR66"/>
    <mergeCell ref="AR67:AR68"/>
    <mergeCell ref="K62:N62"/>
    <mergeCell ref="K70:N70"/>
    <mergeCell ref="K72:N72"/>
    <mergeCell ref="K73:N73"/>
    <mergeCell ref="K71:N71"/>
    <mergeCell ref="K74:N74"/>
    <mergeCell ref="K75:N75"/>
    <mergeCell ref="K76:N76"/>
    <mergeCell ref="AA60:AB60"/>
    <mergeCell ref="AF60:AG60"/>
    <mergeCell ref="K63:M63"/>
    <mergeCell ref="K64:N64"/>
    <mergeCell ref="N65:N66"/>
    <mergeCell ref="N67:N68"/>
    <mergeCell ref="B100:D100"/>
    <mergeCell ref="Q97:S97"/>
    <mergeCell ref="G97:N97"/>
    <mergeCell ref="B93:D93"/>
    <mergeCell ref="G93:H93"/>
    <mergeCell ref="K93:N93"/>
    <mergeCell ref="B96:D96"/>
    <mergeCell ref="Q95:S95"/>
    <mergeCell ref="K77:N77"/>
    <mergeCell ref="G80:H80"/>
    <mergeCell ref="B81:B82"/>
    <mergeCell ref="C81:C82"/>
    <mergeCell ref="D81:D82"/>
    <mergeCell ref="E80:F80"/>
    <mergeCell ref="B98:D98"/>
    <mergeCell ref="G98:H98"/>
    <mergeCell ref="O96:P96"/>
    <mergeCell ref="E96:F96"/>
    <mergeCell ref="G96:N96"/>
    <mergeCell ref="T96:W96"/>
    <mergeCell ref="V97:X97"/>
    <mergeCell ref="V95:X95"/>
    <mergeCell ref="B95:D95"/>
    <mergeCell ref="G95:N95"/>
    <mergeCell ref="B97:D97"/>
    <mergeCell ref="B74:C74"/>
    <mergeCell ref="K65:M66"/>
    <mergeCell ref="K67:M68"/>
    <mergeCell ref="K69:M69"/>
    <mergeCell ref="K80:N80"/>
    <mergeCell ref="Q80:R80"/>
  </mergeCells>
  <conditionalFormatting sqref="AP60:AQ77 AP80:AQ91 AP17:AQ54">
    <cfRule type="expression" dxfId="620" priority="2727" stopIfTrue="1">
      <formula>$AP$16="Neaktivní"</formula>
    </cfRule>
  </conditionalFormatting>
  <conditionalFormatting sqref="AU60:AV77 AU80:AV91 AU17:AV54">
    <cfRule type="expression" dxfId="619" priority="345" stopIfTrue="1">
      <formula>$AU$16="Neaktivní"</formula>
    </cfRule>
  </conditionalFormatting>
  <conditionalFormatting sqref="AZ60:BA77 AZ80:BA91 AZ17:BA54">
    <cfRule type="expression" dxfId="618" priority="344" stopIfTrue="1">
      <formula>$AZ$16="Neaktivní"</formula>
    </cfRule>
  </conditionalFormatting>
  <conditionalFormatting sqref="BE60:BF77 BE80:BF91 BE17:BF54">
    <cfRule type="expression" dxfId="617" priority="343" stopIfTrue="1">
      <formula>$BE$16="Neaktivní"</formula>
    </cfRule>
  </conditionalFormatting>
  <conditionalFormatting sqref="BJ60:BK77 BJ80:BK91 BJ17:BK54">
    <cfRule type="expression" dxfId="616" priority="342" stopIfTrue="1">
      <formula>$BJ$16="Neaktivní"</formula>
    </cfRule>
  </conditionalFormatting>
  <conditionalFormatting sqref="AP25:AQ26 I80:J91 I17:J54">
    <cfRule type="expression" dxfId="615" priority="2066">
      <formula>$I$16="Neaktivní"</formula>
    </cfRule>
  </conditionalFormatting>
  <conditionalFormatting sqref="AP29:AQ29">
    <cfRule type="expression" dxfId="614" priority="2062">
      <formula>$I$16="Neaktivní"</formula>
    </cfRule>
  </conditionalFormatting>
  <conditionalFormatting sqref="AP36:AQ36">
    <cfRule type="expression" dxfId="613" priority="2058">
      <formula>$I$16="Neaktivní"</formula>
    </cfRule>
  </conditionalFormatting>
  <conditionalFormatting sqref="AP40:AQ41">
    <cfRule type="expression" dxfId="612" priority="2054">
      <formula>$I$16="Neaktivní"</formula>
    </cfRule>
  </conditionalFormatting>
  <conditionalFormatting sqref="AP44:AQ45">
    <cfRule type="expression" dxfId="611" priority="2050">
      <formula>$I$16="Neaktivní"</formula>
    </cfRule>
  </conditionalFormatting>
  <conditionalFormatting sqref="AP28:AQ28">
    <cfRule type="expression" dxfId="610" priority="2046">
      <formula>$I$16="Neaktivní"</formula>
    </cfRule>
  </conditionalFormatting>
  <conditionalFormatting sqref="AP32:AQ32">
    <cfRule type="expression" dxfId="609" priority="2042">
      <formula>$I$16="Neaktivní"</formula>
    </cfRule>
  </conditionalFormatting>
  <conditionalFormatting sqref="O78">
    <cfRule type="expression" dxfId="608" priority="501">
      <formula>OR(O77/E77&gt;1.07,P77/F77&gt;1.07)</formula>
    </cfRule>
  </conditionalFormatting>
  <conditionalFormatting sqref="T78">
    <cfRule type="expression" dxfId="607" priority="500">
      <formula>OR(T77/O77&gt;1.07,U77/P77&gt;1.07)</formula>
    </cfRule>
  </conditionalFormatting>
  <conditionalFormatting sqref="Y78">
    <cfRule type="expression" dxfId="606" priority="499">
      <formula>OR(Y77/T77&gt;1.07,Z77/U77&gt;1.07)</formula>
    </cfRule>
  </conditionalFormatting>
  <conditionalFormatting sqref="AD78">
    <cfRule type="expression" dxfId="605" priority="498">
      <formula>OR(AD77/Y77&gt;1.07,AE77/Z77&gt;1.07)</formula>
    </cfRule>
  </conditionalFormatting>
  <conditionalFormatting sqref="AI78">
    <cfRule type="expression" dxfId="604" priority="497">
      <formula>OR(AI77/AD77&gt;1.07,AJ77/AE77&gt;1.07)</formula>
    </cfRule>
  </conditionalFormatting>
  <conditionalFormatting sqref="AN78">
    <cfRule type="expression" dxfId="603" priority="496">
      <formula>OR(AN77/AI77&gt;1.07,AO77/AJ77&gt;1.07)</formula>
    </cfRule>
  </conditionalFormatting>
  <conditionalFormatting sqref="AS78">
    <cfRule type="expression" dxfId="602" priority="495">
      <formula>OR(AS77/AN77&gt;1.07,AT77/AO77&gt;1.07)</formula>
    </cfRule>
  </conditionalFormatting>
  <conditionalFormatting sqref="AX78">
    <cfRule type="expression" dxfId="601" priority="494">
      <formula>OR(AX77/AS77&gt;1.07,AY77/AT77&gt;1.07)</formula>
    </cfRule>
  </conditionalFormatting>
  <conditionalFormatting sqref="BH78">
    <cfRule type="expression" dxfId="600" priority="492">
      <formula>OR(BH77/BC77&gt;1.07,BI77/BD77&gt;1.07)</formula>
    </cfRule>
  </conditionalFormatting>
  <conditionalFormatting sqref="AP35:AQ35">
    <cfRule type="expression" dxfId="599" priority="464">
      <formula>$I$16="Neaktivní"</formula>
    </cfRule>
  </conditionalFormatting>
  <conditionalFormatting sqref="V60:W77 V80:W91 V17:W54">
    <cfRule type="expression" dxfId="598" priority="349">
      <formula>$V$16="Neaktivní"</formula>
    </cfRule>
  </conditionalFormatting>
  <conditionalFormatting sqref="AA60:AB77 AA80:AB91 AA17:AB54">
    <cfRule type="expression" dxfId="597" priority="348">
      <formula>$AA$16="Neaktivní"</formula>
    </cfRule>
  </conditionalFormatting>
  <conditionalFormatting sqref="AK60:AL77 AK80:AL91 AK17:AL54">
    <cfRule type="expression" dxfId="596" priority="346">
      <formula>$AK$16="Neaktivní"</formula>
    </cfRule>
  </conditionalFormatting>
  <conditionalFormatting sqref="AP31:AQ31">
    <cfRule type="expression" dxfId="595" priority="412">
      <formula>$I$16="Neaktivní"</formula>
    </cfRule>
  </conditionalFormatting>
  <conditionalFormatting sqref="O79">
    <cfRule type="expression" dxfId="594" priority="391">
      <formula>OR(O77/E77&gt;1.07,P77/F77&gt;1.07)</formula>
    </cfRule>
  </conditionalFormatting>
  <conditionalFormatting sqref="T79">
    <cfRule type="expression" dxfId="593" priority="390">
      <formula>OR(T77/J77&gt;1.07,U77/K77&gt;1.07)</formula>
    </cfRule>
  </conditionalFormatting>
  <conditionalFormatting sqref="Y79">
    <cfRule type="expression" dxfId="592" priority="389">
      <formula>OR(Y77/O77&gt;1.07,Z77/P77&gt;1.07)</formula>
    </cfRule>
  </conditionalFormatting>
  <conditionalFormatting sqref="AD79">
    <cfRule type="expression" dxfId="591" priority="388">
      <formula>OR(AD77/T77&gt;1.07,AE77/U77&gt;1.07)</formula>
    </cfRule>
  </conditionalFormatting>
  <conditionalFormatting sqref="AI79">
    <cfRule type="expression" dxfId="590" priority="387">
      <formula>OR(AI77/Y77&gt;1.07,AJ77/Z77&gt;1.07)</formula>
    </cfRule>
  </conditionalFormatting>
  <conditionalFormatting sqref="AN79">
    <cfRule type="expression" dxfId="589" priority="385">
      <formula>OR(AN77/AD77&gt;1.07,AO77/AE77&gt;1.07)</formula>
    </cfRule>
  </conditionalFormatting>
  <conditionalFormatting sqref="AS79">
    <cfRule type="expression" dxfId="588" priority="384">
      <formula>OR(AS77/AI77&gt;1.07,AT77/AJ77&gt;1.07)</formula>
    </cfRule>
  </conditionalFormatting>
  <conditionalFormatting sqref="AX79">
    <cfRule type="expression" dxfId="587" priority="383">
      <formula>OR(AX77/AN77&gt;1.07,AY77/AO77&gt;1.07)</formula>
    </cfRule>
  </conditionalFormatting>
  <conditionalFormatting sqref="BC79">
    <cfRule type="expression" dxfId="586" priority="382">
      <formula>OR(BC77/AS77&gt;1.07,BD77/AT77&gt;1.07)</formula>
    </cfRule>
  </conditionalFormatting>
  <conditionalFormatting sqref="BH79">
    <cfRule type="expression" dxfId="585" priority="381">
      <formula>OR(BH77/AX77&gt;1.07,BI77/AY77&gt;1.07)</formula>
    </cfRule>
  </conditionalFormatting>
  <conditionalFormatting sqref="AF60:AG77 AF80:AG91 AF17:AG54">
    <cfRule type="expression" dxfId="584" priority="347">
      <formula>$AF$16="Neaktivní"</formula>
    </cfRule>
  </conditionalFormatting>
  <conditionalFormatting sqref="Q60:R77 Q80:R91 Q17:R54">
    <cfRule type="expression" dxfId="583" priority="350">
      <formula>$Q$16="Neaktivní"</formula>
    </cfRule>
  </conditionalFormatting>
  <conditionalFormatting sqref="I60:J77">
    <cfRule type="expression" dxfId="582" priority="290">
      <formula>$I$16="Neaktivní"</formula>
    </cfRule>
  </conditionalFormatting>
  <conditionalFormatting sqref="AP42:AP43">
    <cfRule type="expression" dxfId="581" priority="277">
      <formula>$I$16="Neaktivní"</formula>
    </cfRule>
  </conditionalFormatting>
  <conditionalFormatting sqref="AQ42:AQ43">
    <cfRule type="expression" dxfId="580" priority="274">
      <formula>$I$16="Neaktivní"</formula>
    </cfRule>
  </conditionalFormatting>
  <conditionalFormatting sqref="AP34">
    <cfRule type="expression" dxfId="579" priority="271">
      <formula>$I$16="Neaktivní"</formula>
    </cfRule>
  </conditionalFormatting>
  <conditionalFormatting sqref="AQ34">
    <cfRule type="expression" dxfId="578" priority="268">
      <formula>$I$16="Neaktivní"</formula>
    </cfRule>
  </conditionalFormatting>
  <dataValidations count="3">
    <dataValidation type="date" allowBlank="1" showInputMessage="1" showErrorMessage="1" error="Datum musí být zadáno ve tvaru DD.MM.RRRR a v rozmezí roku, pro který je Aktualizace _x000a_Kalkulace zpracovávaná." sqref="R17 AL17 AB17 AG17 W17 AQ17 AV17 BA17 BF17 BK17 BP17" xr:uid="{00000000-0002-0000-0300-000000000000}">
      <formula1>DATE(Q19,1,1)</formula1>
      <formula2>DATE(Q19,12,31)</formula2>
    </dataValidation>
    <dataValidation type="decimal" operator="lessThanOrEqual" allowBlank="1" showInputMessage="1" showErrorMessage="1" error="Je třeba uvést v záporné hodnotě." sqref="BN43:BP43" xr:uid="{00000000-0002-0000-0300-000001000000}">
      <formula1>0</formula1>
    </dataValidation>
    <dataValidation type="list" allowBlank="1" showInputMessage="1" showErrorMessage="1" sqref="BO16:BP16" xr:uid="{00000000-0002-0000-0300-000002000000}">
      <formula1>$B$46:$B$47</formula1>
    </dataValidation>
  </dataValidations>
  <pageMargins left="0.7" right="0.7" top="0.78740157499999996" bottom="0.78740157499999996" header="0.3" footer="0.3"/>
  <pageSetup paperSize="9" scale="54" orientation="landscape" r:id="rId1"/>
  <rowBreaks count="1" manualBreakCount="1">
    <brk id="58" max="16383" man="1"/>
  </rowBreaks>
  <colBreaks count="2" manualBreakCount="2">
    <brk id="23" max="1048575" man="1"/>
    <brk id="48" max="1048575" man="1"/>
  </colBreaks>
  <ignoredErrors>
    <ignoredError sqref="G38:H38 G33:H33 G30:H30 G27:H27 G46:H46 F76 G89:I89 S46 S38 S33 S30 S27 S22 BG22:BG54 BB22:BB54 AW22:AW54 AR22:AR54 AM22:AM54 AH22:AH54 AC22:AC54 X22:X54 I67:J67 P83:P89 Q83:Q89 H83:I83 Q67:R67 AA67:AB67 V67:W67 AF67:AG67 AK67:AL67 AP67:AQ67 AU67:AV67 AZ67:BA67 BE67:BF67 BJ67:BK67 BK83:BK89 BI83:BI89 BD83:BD89 AY83:AY89 AT83:AT89 AO83:AO89 AK83:AK89 AE83:AE89 Z83:Z89 U83:U89 BL83:BL89 BJ83:BJ89 BE83:BE89 AZ83:AZ89 AU83:AU89 AP83:AP89 AJ83:AJ89 BL67:BM67 BL46:BM46 BL27:BM38 V83:V89 AA83:AA89 AF83 AF89 Q35:R35 BJ35:BK35 BE35:BF35 AZ35:BA35 V35:W35 AA35:AB35 AF35:AG35 AK35:AL35 AP35:AQ35 AU35:AV35 F89" formula="1"/>
    <ignoredError sqref="E3 E13 F5:F11 F14 G13:H13 I5:I11 I14 J13:K13 L5:L6 O5:O11 L14 O14 R5 S13:T13 U5 S3:T3 P3:Q3 M3:N3 J3:K3 G3:H3 R6:R11 U6:U11 R14 E93 L7:L11 AG6:AG11 U14 V13:W13 AG5 V4:W4 V3:AG3 V5:AF5 Y13:Z13 X6:X11 X14 AA6:AA11 AA14 AD6:AD11 AD14 AG14 AE4:AF4 AB4:AC4 Y4:Z4 BL93" unlockedFormula="1"/>
    <ignoredError sqref="F13 I13 N13:R13 L13:M13 U13 X13 AE13:AF13 AB13:AD13 AA13 AG13" formula="1" unlockedFormula="1"/>
    <ignoredError sqref="I38:J38 I46:J46 Q38:R38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78" id="{B9539476-EE2C-4373-93A1-7BB397099D3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H20:H54 H61:H77 H81:H91</xm:sqref>
        </x14:conditionalFormatting>
        <x14:conditionalFormatting xmlns:xm="http://schemas.microsoft.com/office/excel/2006/main">
          <x14:cfRule type="expression" priority="310" id="{E8C5E544-AB4A-4209-A552-F8B61C27AB21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P61:P62 P81:P91 P93 P20:P23 P97:P98 P25:P33 P35:P38 P40:P48 P64:P65 P67 P70:P77</xm:sqref>
        </x14:conditionalFormatting>
        <x14:conditionalFormatting xmlns:xm="http://schemas.microsoft.com/office/excel/2006/main">
          <x14:cfRule type="expression" priority="309" id="{FED5A1C8-303F-47E8-82CE-624C1F8AAB11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U61:U62 U81:U91 U93 U20:U23 U35:U38 U25:U33 U40:U48 U64:U65 U67 U70:U77</xm:sqref>
        </x14:conditionalFormatting>
        <x14:conditionalFormatting xmlns:xm="http://schemas.microsoft.com/office/excel/2006/main">
          <x14:cfRule type="expression" priority="3199" id="{C89C941D-BB1D-4569-B5B8-1967A6D6526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BM81:BM91 BM61:BM77 BM20:BM54</xm:sqref>
        </x14:conditionalFormatting>
        <x14:conditionalFormatting xmlns:xm="http://schemas.microsoft.com/office/excel/2006/main">
          <x14:cfRule type="expression" priority="2893" id="{091FFC92-7BFA-45DF-B38A-C6EF67FDFDD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AP61:AP77 AP81:AP91 AP20:AP54 O97:O98 E97:E98</xm:sqref>
        </x14:conditionalFormatting>
        <x14:conditionalFormatting xmlns:xm="http://schemas.microsoft.com/office/excel/2006/main">
          <x14:cfRule type="expression" priority="2892" id="{F8FB808B-B748-46F3-B206-7EA49CED9E9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AQ61:AQ77 AQ81:AQ91 AQ20:AQ54</xm:sqref>
        </x14:conditionalFormatting>
        <x14:conditionalFormatting xmlns:xm="http://schemas.microsoft.com/office/excel/2006/main">
          <x14:cfRule type="expression" priority="3925" id="{95F9FA1B-36E7-4737-8EF4-595763DAFF09}">
            <xm:f>Postup!$J$25&lt;$H$3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E3:E14 F5:F14</xm:sqref>
        </x14:conditionalFormatting>
        <x14:conditionalFormatting xmlns:xm="http://schemas.microsoft.com/office/excel/2006/main">
          <x14:cfRule type="expression" priority="322" id="{15371BAB-473E-475E-83E0-5ADCD83FB2D6}">
            <xm:f>AND(DAY(Postup!$H$25)=31,MONTH(Postup!$H$25)=12)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BL18:BM54 BL60:BM77 BL80:BM91</xm:sqref>
        </x14:conditionalFormatting>
        <x14:conditionalFormatting xmlns:xm="http://schemas.microsoft.com/office/excel/2006/main">
          <x14:cfRule type="expression" priority="3970" id="{7E4FBA1A-B667-4E5C-985A-CCC6929C7DCD}">
            <xm:f>Postup!$J$25&lt;$K$3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G3:H4 H5:I5 G6:I14</xm:sqref>
        </x14:conditionalFormatting>
        <x14:conditionalFormatting xmlns:xm="http://schemas.microsoft.com/office/excel/2006/main">
          <x14:cfRule type="expression" priority="3974" id="{50F88D5F-0A7A-453F-AFD3-9370B61E5866}">
            <xm:f>Postup!$J$25&lt;$N$3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J3:K4 K5:L5 J6:L14</xm:sqref>
        </x14:conditionalFormatting>
        <x14:conditionalFormatting xmlns:xm="http://schemas.microsoft.com/office/excel/2006/main">
          <x14:cfRule type="expression" priority="3978" id="{7940E2AA-2BFD-4143-B906-6EF175F40023}">
            <xm:f>Postup!$J$25&lt;$Q$3</xm:f>
            <x14:dxf>
              <font>
                <b val="0"/>
                <i val="0"/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M3:N4 N5:O5 M6:O14</xm:sqref>
        </x14:conditionalFormatting>
        <x14:conditionalFormatting xmlns:xm="http://schemas.microsoft.com/office/excel/2006/main">
          <x14:cfRule type="expression" priority="3982" id="{19AC10DF-EBFB-4D5E-BDD2-38C7285D38E8}">
            <xm:f>Postup!$J$25&lt;$T$3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P3:Q4 Q5:R5 P6:R14</xm:sqref>
        </x14:conditionalFormatting>
        <x14:conditionalFormatting xmlns:xm="http://schemas.microsoft.com/office/excel/2006/main">
          <x14:cfRule type="expression" priority="302" id="{7CA0A2B3-1073-4404-A1A1-09616E42EF0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BC61:BC62 BC81:BC91 BC93 BC20:BC22 BC64:BC65 BC67 BC70:BC77 BC25:BC33 BC35:BC46 BC49:BC52</xm:sqref>
        </x14:conditionalFormatting>
        <x14:conditionalFormatting xmlns:xm="http://schemas.microsoft.com/office/excel/2006/main">
          <x14:cfRule type="expression" priority="301" id="{0DA09D19-9CFA-45D8-8468-661D4AAF9BA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BH61:BH62 BH81:BH91 BH93 BH20:BH22 BH64:BH65 BH67 BH70:BH77 BH25:BH33 BH35:BH46 BH49:BH52</xm:sqref>
        </x14:conditionalFormatting>
        <x14:conditionalFormatting xmlns:xm="http://schemas.microsoft.com/office/excel/2006/main">
          <x14:cfRule type="expression" priority="2767" id="{DB12BCF4-C5B2-49EE-B62F-B7F9C932AFAA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763" id="{B39CFEDF-8201-42FF-92B4-663C3058D20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J42</xm:sqref>
        </x14:conditionalFormatting>
        <x14:conditionalFormatting xmlns:xm="http://schemas.microsoft.com/office/excel/2006/main">
          <x14:cfRule type="expression" priority="2755" id="{732ECA2A-0DCB-44B3-A372-E2EEBB312CA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J71:J77</xm:sqref>
        </x14:conditionalFormatting>
        <x14:conditionalFormatting xmlns:xm="http://schemas.microsoft.com/office/excel/2006/main">
          <x14:cfRule type="expression" priority="2741" id="{42A8222E-1C0D-454C-9AB7-D9E9456998B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J61:J77 J81:J91 J20:J54</xm:sqref>
        </x14:conditionalFormatting>
        <x14:conditionalFormatting xmlns:xm="http://schemas.microsoft.com/office/excel/2006/main">
          <x14:cfRule type="expression" priority="2750" id="{8C15C851-21DA-4A5C-A14E-FB637E3A79D8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J70</xm:sqref>
        </x14:conditionalFormatting>
        <x14:conditionalFormatting xmlns:xm="http://schemas.microsoft.com/office/excel/2006/main">
          <x14:cfRule type="expression" priority="2748" id="{A481F847-5F76-4B7D-9069-D215216F3058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J66</xm:sqref>
        </x14:conditionalFormatting>
        <x14:conditionalFormatting xmlns:xm="http://schemas.microsoft.com/office/excel/2006/main">
          <x14:cfRule type="expression" priority="2746" id="{EEAF491F-3EA8-4894-9F9E-457023191E9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J68</xm:sqref>
        </x14:conditionalFormatting>
        <x14:conditionalFormatting xmlns:xm="http://schemas.microsoft.com/office/excel/2006/main">
          <x14:cfRule type="expression" priority="2744" id="{6425330F-467D-4273-8959-421348DB2F8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J69</xm:sqref>
        </x14:conditionalFormatting>
        <x14:conditionalFormatting xmlns:xm="http://schemas.microsoft.com/office/excel/2006/main">
          <x14:cfRule type="expression" priority="2743" id="{B6D1C3EA-21C1-41BB-9D6D-66926EA4E897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J65</xm:sqref>
        </x14:conditionalFormatting>
        <x14:conditionalFormatting xmlns:xm="http://schemas.microsoft.com/office/excel/2006/main">
          <x14:cfRule type="expression" priority="2742" id="{B4D97B9E-5555-4603-8E0C-485ADF3E07CA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J67</xm:sqref>
        </x14:conditionalFormatting>
        <x14:conditionalFormatting xmlns:xm="http://schemas.microsoft.com/office/excel/2006/main">
          <x14:cfRule type="expression" priority="2537" id="{ACF4484D-91DA-491D-811A-4B4C8E390D23}">
            <xm:f>$AD$18&gt;Postup!$J$25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BC60:BD60 AD60:AE62 AD80:AE91 AD93:AE93 AD18:AE22 AD64:AE65 AD67:AE67 AD70:AE77 AD25:AE33 AE23 AD35:AE38 AD40:AE46 AD39 AE47:AE48 AD49:AD52</xm:sqref>
        </x14:conditionalFormatting>
        <x14:conditionalFormatting xmlns:xm="http://schemas.microsoft.com/office/excel/2006/main">
          <x14:cfRule type="expression" priority="2536" id="{24BB922B-2534-472F-92E1-4653B7266F9E}">
            <xm:f>$AD$18&gt;Postup!$J$25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BH60:BI60</xm:sqref>
        </x14:conditionalFormatting>
        <x14:conditionalFormatting xmlns:xm="http://schemas.microsoft.com/office/excel/2006/main">
          <x14:cfRule type="expression" priority="2114" id="{B3A28620-4D71-4EE2-A066-8D9B9C21128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AP23:AP24</xm:sqref>
        </x14:conditionalFormatting>
        <x14:conditionalFormatting xmlns:xm="http://schemas.microsoft.com/office/excel/2006/main">
          <x14:cfRule type="expression" priority="2113" id="{9D4F4FE5-55CF-41F2-AAE6-5F44C951A23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AQ23:AQ24</xm:sqref>
        </x14:conditionalFormatting>
        <x14:conditionalFormatting xmlns:xm="http://schemas.microsoft.com/office/excel/2006/main">
          <x14:cfRule type="expression" priority="2115" id="{2679A824-119D-41F2-B5F2-0596BEB95CC3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AP23:AQ24 O60:P62 O80:P91 O93:P93 O18:P22 O25:P33 P23 O35:P38 O40:P46 O39 O49:O52 P47:P48 O64:P65 O67:P67 O70:P77</xm:sqref>
        </x14:conditionalFormatting>
        <x14:conditionalFormatting xmlns:xm="http://schemas.microsoft.com/office/excel/2006/main">
          <x14:cfRule type="expression" priority="2111" id="{D59A7C17-ADD8-4059-A9D3-D1298FB6EE0E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AP34</xm:sqref>
        </x14:conditionalFormatting>
        <x14:conditionalFormatting xmlns:xm="http://schemas.microsoft.com/office/excel/2006/main">
          <x14:cfRule type="expression" priority="2110" id="{A8174243-625C-4FEB-BCBE-A4A1BDFF66C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AQ34</xm:sqref>
        </x14:conditionalFormatting>
        <x14:conditionalFormatting xmlns:xm="http://schemas.microsoft.com/office/excel/2006/main">
          <x14:cfRule type="expression" priority="2112" id="{52623FCD-B0BB-476E-892D-AE4EAAD9CF4B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AP34:AQ34</xm:sqref>
        </x14:conditionalFormatting>
        <x14:conditionalFormatting xmlns:xm="http://schemas.microsoft.com/office/excel/2006/main">
          <x14:cfRule type="expression" priority="2108" id="{7DCB7180-BF6A-4BCC-9C0E-625CB69E088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AP37</xm:sqref>
        </x14:conditionalFormatting>
        <x14:conditionalFormatting xmlns:xm="http://schemas.microsoft.com/office/excel/2006/main">
          <x14:cfRule type="expression" priority="2107" id="{04E2012D-A3E8-4087-BCE4-371721A1C01E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AQ37</xm:sqref>
        </x14:conditionalFormatting>
        <x14:conditionalFormatting xmlns:xm="http://schemas.microsoft.com/office/excel/2006/main">
          <x14:cfRule type="expression" priority="2109" id="{E628F10C-EB6E-4A06-8028-0471FBC44445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AP37:AQ37</xm:sqref>
        </x14:conditionalFormatting>
        <x14:conditionalFormatting xmlns:xm="http://schemas.microsoft.com/office/excel/2006/main">
          <x14:cfRule type="expression" priority="2105" id="{0381EC4A-0F73-4F85-85C4-B7F10956512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AP39</xm:sqref>
        </x14:conditionalFormatting>
        <x14:conditionalFormatting xmlns:xm="http://schemas.microsoft.com/office/excel/2006/main">
          <x14:cfRule type="expression" priority="2104" id="{13A12D22-FCF3-4190-876D-F5968BCA0EE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AQ39</xm:sqref>
        </x14:conditionalFormatting>
        <x14:conditionalFormatting xmlns:xm="http://schemas.microsoft.com/office/excel/2006/main">
          <x14:cfRule type="expression" priority="2106" id="{03BA34DF-AFBB-46E6-99E3-86A40FF47631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AP39:AQ39</xm:sqref>
        </x14:conditionalFormatting>
        <x14:conditionalFormatting xmlns:xm="http://schemas.microsoft.com/office/excel/2006/main">
          <x14:cfRule type="expression" priority="2102" id="{014E880B-99A8-488A-841B-B1238E7D841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AP47:AP54</xm:sqref>
        </x14:conditionalFormatting>
        <x14:conditionalFormatting xmlns:xm="http://schemas.microsoft.com/office/excel/2006/main">
          <x14:cfRule type="expression" priority="2101" id="{136D7747-FC1D-4DE5-9CEB-B3D385B1B9DC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AQ47:AQ54</xm:sqref>
        </x14:conditionalFormatting>
        <x14:conditionalFormatting xmlns:xm="http://schemas.microsoft.com/office/excel/2006/main">
          <x14:cfRule type="expression" priority="2103" id="{B8D739F4-9F73-42AE-BD70-330E674965A5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AP47:AQ54</xm:sqref>
        </x14:conditionalFormatting>
        <x14:conditionalFormatting xmlns:xm="http://schemas.microsoft.com/office/excel/2006/main">
          <x14:cfRule type="expression" priority="2093" id="{0EB14F3F-8A78-4B20-B482-0B4CA16974B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AP22</xm:sqref>
        </x14:conditionalFormatting>
        <x14:conditionalFormatting xmlns:xm="http://schemas.microsoft.com/office/excel/2006/main">
          <x14:cfRule type="expression" priority="2092" id="{E102BBA4-6202-46BF-981F-6BAF9DD3508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AQ22</xm:sqref>
        </x14:conditionalFormatting>
        <x14:conditionalFormatting xmlns:xm="http://schemas.microsoft.com/office/excel/2006/main">
          <x14:cfRule type="expression" priority="2094" id="{3AE3226F-22EA-4B4B-A119-C10CC59E751F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AP22:AQ22</xm:sqref>
        </x14:conditionalFormatting>
        <x14:conditionalFormatting xmlns:xm="http://schemas.microsoft.com/office/excel/2006/main">
          <x14:cfRule type="expression" priority="2090" id="{D9ADD447-4FFC-4A64-B1F9-E9760B8E8488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AP27</xm:sqref>
        </x14:conditionalFormatting>
        <x14:conditionalFormatting xmlns:xm="http://schemas.microsoft.com/office/excel/2006/main">
          <x14:cfRule type="expression" priority="2089" id="{5D235FC0-25EF-49A5-8378-3DC201CB0D8C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AQ27</xm:sqref>
        </x14:conditionalFormatting>
        <x14:conditionalFormatting xmlns:xm="http://schemas.microsoft.com/office/excel/2006/main">
          <x14:cfRule type="expression" priority="2091" id="{77AB3968-B486-43C6-94DA-69518C8337F3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AP27:AQ27</xm:sqref>
        </x14:conditionalFormatting>
        <x14:conditionalFormatting xmlns:xm="http://schemas.microsoft.com/office/excel/2006/main">
          <x14:cfRule type="expression" priority="2087" id="{5807FAA5-82DA-430F-B0FC-4D7111DD743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AP30</xm:sqref>
        </x14:conditionalFormatting>
        <x14:conditionalFormatting xmlns:xm="http://schemas.microsoft.com/office/excel/2006/main">
          <x14:cfRule type="expression" priority="2086" id="{35CF0980-C683-4C87-BE93-D7C85478DAA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AQ30</xm:sqref>
        </x14:conditionalFormatting>
        <x14:conditionalFormatting xmlns:xm="http://schemas.microsoft.com/office/excel/2006/main">
          <x14:cfRule type="expression" priority="2088" id="{D309E04E-9602-4E80-8CD5-9E7A4F82BCFE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AP30:AQ30</xm:sqref>
        </x14:conditionalFormatting>
        <x14:conditionalFormatting xmlns:xm="http://schemas.microsoft.com/office/excel/2006/main">
          <x14:cfRule type="expression" priority="2084" id="{D949E460-335F-4B1B-AC24-7B223AB9D071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AP33</xm:sqref>
        </x14:conditionalFormatting>
        <x14:conditionalFormatting xmlns:xm="http://schemas.microsoft.com/office/excel/2006/main">
          <x14:cfRule type="expression" priority="2083" id="{E7412803-2B59-4272-9A6D-D3F5997A5D1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AQ33</xm:sqref>
        </x14:conditionalFormatting>
        <x14:conditionalFormatting xmlns:xm="http://schemas.microsoft.com/office/excel/2006/main">
          <x14:cfRule type="expression" priority="2085" id="{F4AE2986-F2A3-409C-A03F-818691C77F2D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AP33:AQ33</xm:sqref>
        </x14:conditionalFormatting>
        <x14:conditionalFormatting xmlns:xm="http://schemas.microsoft.com/office/excel/2006/main">
          <x14:cfRule type="expression" priority="2081" id="{A77452A2-43D8-4977-A4DF-9B09D6DAE817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2080" id="{2C31ECF6-3362-466E-81CB-21694DFBC70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2082" id="{DDEC4AA5-CF69-4066-9A7F-D7C035F4557A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AP46:AQ46</xm:sqref>
        </x14:conditionalFormatting>
        <x14:conditionalFormatting xmlns:xm="http://schemas.microsoft.com/office/excel/2006/main">
          <x14:cfRule type="expression" priority="2078" id="{170E21FB-DB2C-4AB8-B568-8775DCB25FF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AP38</xm:sqref>
        </x14:conditionalFormatting>
        <x14:conditionalFormatting xmlns:xm="http://schemas.microsoft.com/office/excel/2006/main">
          <x14:cfRule type="expression" priority="2077" id="{AB4448DA-199F-4131-A60A-666049396C3E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AQ38</xm:sqref>
        </x14:conditionalFormatting>
        <x14:conditionalFormatting xmlns:xm="http://schemas.microsoft.com/office/excel/2006/main">
          <x14:cfRule type="expression" priority="2079" id="{C153D113-A62F-486A-8233-19AACD65F2C2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AP38:AQ38</xm:sqref>
        </x14:conditionalFormatting>
        <x14:conditionalFormatting xmlns:xm="http://schemas.microsoft.com/office/excel/2006/main">
          <x14:cfRule type="expression" priority="2073" id="{F10584CF-CABE-4AAF-8EE4-F2F092991E8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AP42</xm:sqref>
        </x14:conditionalFormatting>
        <x14:conditionalFormatting xmlns:xm="http://schemas.microsoft.com/office/excel/2006/main">
          <x14:cfRule type="expression" priority="2072" id="{AF0F77CF-9682-4730-B926-7388892183D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AQ42</xm:sqref>
        </x14:conditionalFormatting>
        <x14:conditionalFormatting xmlns:xm="http://schemas.microsoft.com/office/excel/2006/main">
          <x14:cfRule type="expression" priority="2075" id="{A245F49A-A6DC-4346-9FEF-0CD21426392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AP43</xm:sqref>
        </x14:conditionalFormatting>
        <x14:conditionalFormatting xmlns:xm="http://schemas.microsoft.com/office/excel/2006/main">
          <x14:cfRule type="expression" priority="2074" id="{E0B8BCC3-5442-43DD-B7E1-13E07160DA58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AQ43</xm:sqref>
        </x14:conditionalFormatting>
        <x14:conditionalFormatting xmlns:xm="http://schemas.microsoft.com/office/excel/2006/main">
          <x14:cfRule type="expression" priority="2071" id="{675B18E6-3FD7-4E2D-9829-ABA275179A3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AP42</xm:sqref>
        </x14:conditionalFormatting>
        <x14:conditionalFormatting xmlns:xm="http://schemas.microsoft.com/office/excel/2006/main">
          <x14:cfRule type="expression" priority="2070" id="{26087F06-7677-4026-8323-74394A92388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AQ42</xm:sqref>
        </x14:conditionalFormatting>
        <x14:conditionalFormatting xmlns:xm="http://schemas.microsoft.com/office/excel/2006/main">
          <x14:cfRule type="expression" priority="2076" id="{0BEF7D56-7785-4CEB-8252-3F957AAC4D64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AP42:AQ43</xm:sqref>
        </x14:conditionalFormatting>
        <x14:conditionalFormatting xmlns:xm="http://schemas.microsoft.com/office/excel/2006/main">
          <x14:cfRule type="expression" priority="2068" id="{37226E76-AA58-422B-A2F9-678FF0457B8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AP25:AP26</xm:sqref>
        </x14:conditionalFormatting>
        <x14:conditionalFormatting xmlns:xm="http://schemas.microsoft.com/office/excel/2006/main">
          <x14:cfRule type="expression" priority="2067" id="{D9EEF454-3C92-4604-805D-67384BBA4D50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AQ25:AQ26</xm:sqref>
        </x14:conditionalFormatting>
        <x14:conditionalFormatting xmlns:xm="http://schemas.microsoft.com/office/excel/2006/main">
          <x14:cfRule type="expression" priority="2069" id="{E83DA875-6DB5-4892-9DDA-B4017BE66A10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AP25:AQ26</xm:sqref>
        </x14:conditionalFormatting>
        <x14:conditionalFormatting xmlns:xm="http://schemas.microsoft.com/office/excel/2006/main">
          <x14:cfRule type="expression" priority="2064" id="{A16AAC09-309F-4D02-8CC9-6DCE458AFE1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AP29</xm:sqref>
        </x14:conditionalFormatting>
        <x14:conditionalFormatting xmlns:xm="http://schemas.microsoft.com/office/excel/2006/main">
          <x14:cfRule type="expression" priority="2063" id="{4FDAF3E9-6B30-4C57-8B51-33F8A5BC73B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AQ29</xm:sqref>
        </x14:conditionalFormatting>
        <x14:conditionalFormatting xmlns:xm="http://schemas.microsoft.com/office/excel/2006/main">
          <x14:cfRule type="expression" priority="2065" id="{9CB33731-EBA9-461F-B8B8-AA3215D9795F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AP29:AQ29</xm:sqref>
        </x14:conditionalFormatting>
        <x14:conditionalFormatting xmlns:xm="http://schemas.microsoft.com/office/excel/2006/main">
          <x14:cfRule type="expression" priority="2060" id="{8E1D5172-638D-4596-BA96-D8C892C77EB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AP36</xm:sqref>
        </x14:conditionalFormatting>
        <x14:conditionalFormatting xmlns:xm="http://schemas.microsoft.com/office/excel/2006/main">
          <x14:cfRule type="expression" priority="2059" id="{0073A5B2-3415-4B3A-B1D1-A1246C34C60A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AQ36</xm:sqref>
        </x14:conditionalFormatting>
        <x14:conditionalFormatting xmlns:xm="http://schemas.microsoft.com/office/excel/2006/main">
          <x14:cfRule type="expression" priority="2061" id="{65C32803-7383-484C-92D4-B3D509E0BF56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AP36:AQ36</xm:sqref>
        </x14:conditionalFormatting>
        <x14:conditionalFormatting xmlns:xm="http://schemas.microsoft.com/office/excel/2006/main">
          <x14:cfRule type="expression" priority="2056" id="{A96C9388-FC14-412A-9C61-6F3F4546A6D2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AP40:AP41</xm:sqref>
        </x14:conditionalFormatting>
        <x14:conditionalFormatting xmlns:xm="http://schemas.microsoft.com/office/excel/2006/main">
          <x14:cfRule type="expression" priority="2055" id="{C5312607-4075-49C1-8BC0-A2260E18D3D5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AQ40:AQ41</xm:sqref>
        </x14:conditionalFormatting>
        <x14:conditionalFormatting xmlns:xm="http://schemas.microsoft.com/office/excel/2006/main">
          <x14:cfRule type="expression" priority="2057" id="{FE357FDF-E77A-4382-9E31-9668F738BEFD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AP40:AQ41</xm:sqref>
        </x14:conditionalFormatting>
        <x14:conditionalFormatting xmlns:xm="http://schemas.microsoft.com/office/excel/2006/main">
          <x14:cfRule type="expression" priority="2052" id="{CAECDA35-2B11-4163-8D2B-0A8A73B928C0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AP44:AP45</xm:sqref>
        </x14:conditionalFormatting>
        <x14:conditionalFormatting xmlns:xm="http://schemas.microsoft.com/office/excel/2006/main">
          <x14:cfRule type="expression" priority="2051" id="{96B2F265-3F08-44D6-BA4A-9381786E4D3F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AQ44:AQ45</xm:sqref>
        </x14:conditionalFormatting>
        <x14:conditionalFormatting xmlns:xm="http://schemas.microsoft.com/office/excel/2006/main">
          <x14:cfRule type="expression" priority="2053" id="{A86E026A-1539-4002-8DBE-FB721D8352D0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AP44:AQ45</xm:sqref>
        </x14:conditionalFormatting>
        <x14:conditionalFormatting xmlns:xm="http://schemas.microsoft.com/office/excel/2006/main">
          <x14:cfRule type="expression" priority="2048" id="{AD63AAE4-BD95-4464-BDE7-37DE3C76D12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2047" id="{45984F9F-538B-4BD4-950E-8E27D89217CE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AQ28</xm:sqref>
        </x14:conditionalFormatting>
        <x14:conditionalFormatting xmlns:xm="http://schemas.microsoft.com/office/excel/2006/main">
          <x14:cfRule type="expression" priority="2049" id="{FC8B1079-EF56-4C00-A631-A85A7CD9B2E9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AP28:AQ28</xm:sqref>
        </x14:conditionalFormatting>
        <x14:conditionalFormatting xmlns:xm="http://schemas.microsoft.com/office/excel/2006/main">
          <x14:cfRule type="expression" priority="2044" id="{5792BCC0-B7B4-4DFB-97AF-320FBE8A445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AP32</xm:sqref>
        </x14:conditionalFormatting>
        <x14:conditionalFormatting xmlns:xm="http://schemas.microsoft.com/office/excel/2006/main">
          <x14:cfRule type="expression" priority="2043" id="{256F9735-93D5-4089-8B30-5DD1FC4364B2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AQ32</xm:sqref>
        </x14:conditionalFormatting>
        <x14:conditionalFormatting xmlns:xm="http://schemas.microsoft.com/office/excel/2006/main">
          <x14:cfRule type="expression" priority="2045" id="{AEFD66F9-6012-48D9-84DE-2BA817EDD5F4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AP32:AQ32</xm:sqref>
        </x14:conditionalFormatting>
        <x14:conditionalFormatting xmlns:xm="http://schemas.microsoft.com/office/excel/2006/main">
          <x14:cfRule type="expression" priority="1568" id="{427F085B-2A7D-44CF-B987-C9A57391656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J68:J69</xm:sqref>
        </x14:conditionalFormatting>
        <x14:conditionalFormatting xmlns:xm="http://schemas.microsoft.com/office/excel/2006/main">
          <x14:cfRule type="expression" priority="1571" id="{E61CA806-D32F-41FB-9E72-63D4D1471A0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J66</xm:sqref>
        </x14:conditionalFormatting>
        <x14:conditionalFormatting xmlns:xm="http://schemas.microsoft.com/office/excel/2006/main">
          <x14:cfRule type="expression" priority="1570" id="{AEF9C12B-63A7-496C-AB34-8D7A4945191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J66</xm:sqref>
        </x14:conditionalFormatting>
        <x14:conditionalFormatting xmlns:xm="http://schemas.microsoft.com/office/excel/2006/main">
          <x14:cfRule type="expression" priority="1566" id="{99441786-60B2-404A-8C82-3149D963A33A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J68:J69</xm:sqref>
        </x14:conditionalFormatting>
        <x14:conditionalFormatting xmlns:xm="http://schemas.microsoft.com/office/excel/2006/main">
          <x14:cfRule type="expression" priority="1565" id="{9BF35537-EFC2-4B0F-AD7D-42CD757EA50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J68:J69</xm:sqref>
        </x14:conditionalFormatting>
        <x14:conditionalFormatting xmlns:xm="http://schemas.microsoft.com/office/excel/2006/main">
          <x14:cfRule type="expression" priority="640" id="{8C9E5EEC-2E66-4F15-969C-8E6F803BE6F7}">
            <xm:f>Postup!$J$25&lt;$T$3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expression" priority="639" id="{9431760E-9A6C-41F3-82A5-EBAF9EE8537F}">
            <xm:f>Postup!$J$25&lt;$Q$3</xm:f>
            <x14:dxf>
              <font>
                <b val="0"/>
                <i val="0"/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O3</xm:sqref>
        </x14:conditionalFormatting>
        <x14:conditionalFormatting xmlns:xm="http://schemas.microsoft.com/office/excel/2006/main">
          <x14:cfRule type="expression" priority="638" id="{8DD4BCCC-CD4A-4461-BC64-5A02D2639D6D}">
            <xm:f>Postup!$J$25&lt;$N$3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L3</xm:sqref>
        </x14:conditionalFormatting>
        <x14:conditionalFormatting xmlns:xm="http://schemas.microsoft.com/office/excel/2006/main">
          <x14:cfRule type="expression" priority="637" id="{ED8A12A6-BEE0-48FE-9391-4090D104E229}">
            <xm:f>Postup!$J$25&lt;$K$3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I3</xm:sqref>
        </x14:conditionalFormatting>
        <x14:conditionalFormatting xmlns:xm="http://schemas.microsoft.com/office/excel/2006/main">
          <x14:cfRule type="expression" priority="636" id="{EADF344D-8CA1-4CB8-93D6-F77C1D32E5BF}">
            <xm:f>Postup!$J$25&lt;$H$3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466" id="{9B878146-1B9B-49B9-B49D-BA59773F984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AP35</xm:sqref>
        </x14:conditionalFormatting>
        <x14:conditionalFormatting xmlns:xm="http://schemas.microsoft.com/office/excel/2006/main">
          <x14:cfRule type="expression" priority="465" id="{FFD33C0A-3BCC-41A4-B785-6F3DE345A2A5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AQ35</xm:sqref>
        </x14:conditionalFormatting>
        <x14:conditionalFormatting xmlns:xm="http://schemas.microsoft.com/office/excel/2006/main">
          <x14:cfRule type="expression" priority="467" id="{40083BF8-B8E9-4A23-998B-9DB3725F4E7A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AP35:AQ35</xm:sqref>
        </x14:conditionalFormatting>
        <x14:conditionalFormatting xmlns:xm="http://schemas.microsoft.com/office/excel/2006/main">
          <x14:cfRule type="expression" priority="414" id="{FC0D2248-7FA9-4A32-976D-40F116497A5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AP31</xm:sqref>
        </x14:conditionalFormatting>
        <x14:conditionalFormatting xmlns:xm="http://schemas.microsoft.com/office/excel/2006/main">
          <x14:cfRule type="expression" priority="413" id="{43F97332-5EFD-4BAF-9D7D-076C4E7AAE51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AQ31</xm:sqref>
        </x14:conditionalFormatting>
        <x14:conditionalFormatting xmlns:xm="http://schemas.microsoft.com/office/excel/2006/main">
          <x14:cfRule type="expression" priority="415" id="{DD192631-4FD5-4A16-A3CC-C124576EBC30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AP31:AQ31</xm:sqref>
        </x14:conditionalFormatting>
        <x14:conditionalFormatting xmlns:xm="http://schemas.microsoft.com/office/excel/2006/main">
          <x14:cfRule type="expression" priority="370" id="{53CC14E5-8ED1-4817-A7B5-65383AB574AE}">
            <xm:f>Postup!$J$25&lt;$W$3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S3:U14</xm:sqref>
        </x14:conditionalFormatting>
        <x14:conditionalFormatting xmlns:xm="http://schemas.microsoft.com/office/excel/2006/main">
          <x14:cfRule type="expression" priority="369" id="{C65BE448-C435-4790-96C3-A1456D1935F1}">
            <xm:f>Postup!$J$25&lt;$Z$3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V3:X14</xm:sqref>
        </x14:conditionalFormatting>
        <x14:conditionalFormatting xmlns:xm="http://schemas.microsoft.com/office/excel/2006/main">
          <x14:cfRule type="expression" priority="368" id="{2C210A20-ED12-49BF-8BF3-DCC1811B9D3E}">
            <xm:f>Postup!$J$25&lt;$AC$3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Y3:AA14</xm:sqref>
        </x14:conditionalFormatting>
        <x14:conditionalFormatting xmlns:xm="http://schemas.microsoft.com/office/excel/2006/main">
          <x14:cfRule type="expression" priority="367" id="{6BC60FDB-8811-40F7-A5B1-1E44170E6268}">
            <xm:f>Postup!$J$25&lt;$AF$3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AB3:AD14</xm:sqref>
        </x14:conditionalFormatting>
        <x14:conditionalFormatting xmlns:xm="http://schemas.microsoft.com/office/excel/2006/main">
          <x14:cfRule type="expression" priority="366" id="{EB230D8F-A34A-4179-A5A4-E70AAAC7EFC3}">
            <xm:f>Postup!$J$25&lt;$AF$3+1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AE3:AG14</xm:sqref>
        </x14:conditionalFormatting>
        <x14:conditionalFormatting xmlns:xm="http://schemas.microsoft.com/office/excel/2006/main">
          <x14:cfRule type="expression" priority="321" id="{F83995F2-A6DA-43D2-8329-EFDE2D148ED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F20:F54 F61:F62 F81:F91 F97:F98 F64:F65 F67 F70:F77</xm:sqref>
        </x14:conditionalFormatting>
        <x14:conditionalFormatting xmlns:xm="http://schemas.microsoft.com/office/excel/2006/main">
          <x14:cfRule type="expression" priority="364" id="{14D269B7-69F6-4292-9048-77BC4799503E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R61:R77 R81:R91 R20:R54</xm:sqref>
        </x14:conditionalFormatting>
        <x14:conditionalFormatting xmlns:xm="http://schemas.microsoft.com/office/excel/2006/main">
          <x14:cfRule type="expression" priority="428" id="{52145187-5411-4E8C-B996-C40936BC4CBA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W61:W77 W81:W91 W20:W54</xm:sqref>
        </x14:conditionalFormatting>
        <x14:conditionalFormatting xmlns:xm="http://schemas.microsoft.com/office/excel/2006/main">
          <x14:cfRule type="expression" priority="424" id="{8D5CF207-62BA-44C0-8D8F-16E8E7E45178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AB61:AB77 AB81:AB91 AB20:AB54</xm:sqref>
        </x14:conditionalFormatting>
        <x14:conditionalFormatting xmlns:xm="http://schemas.microsoft.com/office/excel/2006/main">
          <x14:cfRule type="expression" priority="365" id="{04CEF540-D068-43B4-9E94-B9CEC23AC43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AG61:AG77 AG81:AG91 AG20:AG54</xm:sqref>
        </x14:conditionalFormatting>
        <x14:conditionalFormatting xmlns:xm="http://schemas.microsoft.com/office/excel/2006/main">
          <x14:cfRule type="expression" priority="416" id="{30C65B28-8523-4D1B-A11A-3DA7159B3775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AL81:AL91 AL61:AL77 AL20:AL54</xm:sqref>
        </x14:conditionalFormatting>
        <x14:conditionalFormatting xmlns:xm="http://schemas.microsoft.com/office/excel/2006/main">
          <x14:cfRule type="expression" priority="2726" id="{A67287F5-D5F4-4ECE-92BC-D03AAE62659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AV61:AV77 AV81:AV91 AV20:AV54</xm:sqref>
        </x14:conditionalFormatting>
        <x14:conditionalFormatting xmlns:xm="http://schemas.microsoft.com/office/excel/2006/main">
          <x14:cfRule type="expression" priority="2725" id="{F77ACBFB-981C-4037-BDDA-172152E89E1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BA61:BA77 BA81:BA91 BA20:BA54</xm:sqref>
        </x14:conditionalFormatting>
        <x14:conditionalFormatting xmlns:xm="http://schemas.microsoft.com/office/excel/2006/main">
          <x14:cfRule type="expression" priority="2724" id="{5849BFA7-B3D8-451A-B453-90612312456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BF61:BF77 BF81:BF91 BF20:BF54</xm:sqref>
        </x14:conditionalFormatting>
        <x14:conditionalFormatting xmlns:xm="http://schemas.microsoft.com/office/excel/2006/main">
          <x14:cfRule type="expression" priority="2723" id="{9AE8D186-0906-47C4-A37E-D919A66E4BD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BK61:BK77 BK81:BK91 BK20:BK54</xm:sqref>
        </x14:conditionalFormatting>
        <x14:conditionalFormatting xmlns:xm="http://schemas.microsoft.com/office/excel/2006/main">
          <x14:cfRule type="expression" priority="291" id="{1F2F74A8-AB8F-42FA-8AB4-6CBA554A48F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BI61:BI62 BI81:BI91 BI93 BI20:BI23 BI64:BI65 BI67 BI70:BI77 BI25:BI33 BI35:BI38 BI40:BI48</xm:sqref>
        </x14:conditionalFormatting>
        <x14:conditionalFormatting xmlns:xm="http://schemas.microsoft.com/office/excel/2006/main">
          <x14:cfRule type="expression" priority="351" id="{B1D38A4D-3373-47DF-9A42-080BA740F1AA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I61:I77 I81:I91 I20:I54</xm:sqref>
        </x14:conditionalFormatting>
        <x14:conditionalFormatting xmlns:xm="http://schemas.microsoft.com/office/excel/2006/main">
          <x14:cfRule type="expression" priority="361" id="{7EA6A78A-42C7-406C-A7FD-9ECBAA600EB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Q61:Q77 Q81:Q91 Q20:Q54</xm:sqref>
        </x14:conditionalFormatting>
        <x14:conditionalFormatting xmlns:xm="http://schemas.microsoft.com/office/excel/2006/main">
          <x14:cfRule type="expression" priority="360" id="{9A732861-E689-4713-990F-8E7E4738B54A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V61:V77 V81:V91 V20:V54</xm:sqref>
        </x14:conditionalFormatting>
        <x14:conditionalFormatting xmlns:xm="http://schemas.microsoft.com/office/excel/2006/main">
          <x14:cfRule type="expression" priority="359" id="{DF42DDDE-D9D7-410F-8A1C-A5C0E7D1757E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AA61:AA77 AA81:AA91 AA20:AA54</xm:sqref>
        </x14:conditionalFormatting>
        <x14:conditionalFormatting xmlns:xm="http://schemas.microsoft.com/office/excel/2006/main">
          <x14:cfRule type="expression" priority="358" id="{332B3964-C7C4-468E-9CA7-659AE8237A9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AF61:AF77 AF81:AF91 AF20:AF54</xm:sqref>
        </x14:conditionalFormatting>
        <x14:conditionalFormatting xmlns:xm="http://schemas.microsoft.com/office/excel/2006/main">
          <x14:cfRule type="expression" priority="357" id="{4F79DC0A-200E-4565-AB1C-99E00B21C5E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AK61:AK77 AK81:AK91 AK20:AK54</xm:sqref>
        </x14:conditionalFormatting>
        <x14:conditionalFormatting xmlns:xm="http://schemas.microsoft.com/office/excel/2006/main">
          <x14:cfRule type="expression" priority="356" id="{F3BC532A-9FC2-49E2-A1E2-E5A2081582AE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AU61:AU77 AU81:AU91 AU20:AU54</xm:sqref>
        </x14:conditionalFormatting>
        <x14:conditionalFormatting xmlns:xm="http://schemas.microsoft.com/office/excel/2006/main">
          <x14:cfRule type="expression" priority="355" id="{53E95E13-1288-49E7-AE32-1A39B6806A07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AZ61:AZ77 AZ81:AZ91 AZ20:AZ54</xm:sqref>
        </x14:conditionalFormatting>
        <x14:conditionalFormatting xmlns:xm="http://schemas.microsoft.com/office/excel/2006/main">
          <x14:cfRule type="expression" priority="354" id="{4115BB6D-AFFD-44AC-A1D8-FB3F5C38195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BE61:BE77 BE81:BE91 BE20:BE54</xm:sqref>
        </x14:conditionalFormatting>
        <x14:conditionalFormatting xmlns:xm="http://schemas.microsoft.com/office/excel/2006/main">
          <x14:cfRule type="expression" priority="353" id="{DE3C6EB6-78FD-4896-8133-CDAC2E2E399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BJ61:BJ77 BJ81:BJ91 BJ20:BJ54</xm:sqref>
        </x14:conditionalFormatting>
        <x14:conditionalFormatting xmlns:xm="http://schemas.microsoft.com/office/excel/2006/main">
          <x14:cfRule type="expression" priority="303" id="{440296BA-1987-445A-AC2A-FA50B3920D6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AX61:AX62 AX81:AX91 AX93 AX20:AX22 AX64:AX65 AX67 AX70:AX77 AX25:AX33 AX35:AX46 AX49:AX52</xm:sqref>
        </x14:conditionalFormatting>
        <x14:conditionalFormatting xmlns:xm="http://schemas.microsoft.com/office/excel/2006/main">
          <x14:cfRule type="expression" priority="304" id="{4188E40D-C189-4611-A622-8896C8648E1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AS61:AS62 AS81:AS91 AS93 AS20:AS22 AS64:AS65 AS67 AS70:AS77 AS25:AS33 AS35:AS46 AS49:AS52</xm:sqref>
        </x14:conditionalFormatting>
        <x14:conditionalFormatting xmlns:xm="http://schemas.microsoft.com/office/excel/2006/main">
          <x14:cfRule type="expression" priority="305" id="{BA426979-B7A9-4965-A57E-36F905AE415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AN61:AN62 AN81:AN91 AN93 AN20:AN22 AN64:AN65 AN67 AN70:AN77 AN25:AN33 AN35:AN46 AN49:AN52</xm:sqref>
        </x14:conditionalFormatting>
        <x14:conditionalFormatting xmlns:xm="http://schemas.microsoft.com/office/excel/2006/main">
          <x14:cfRule type="expression" priority="306" id="{158C3BE7-1042-4D0D-A398-C1435BF4DA6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AI81:AI91 AI93 AJ63 AI61:AI77 AJ24 AJ34 AI20:AI54</xm:sqref>
        </x14:conditionalFormatting>
        <x14:conditionalFormatting xmlns:xm="http://schemas.microsoft.com/office/excel/2006/main">
          <x14:cfRule type="expression" priority="307" id="{3BFF44C5-D14A-44AF-B83C-BEBBD13DC1C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AD61:AD62 AD81:AD91 AD93 AD20:AD22 AD64:AD65 AD67 AD70:AD77 AD25:AD33 AD35:AD46 AD49:AD52</xm:sqref>
        </x14:conditionalFormatting>
        <x14:conditionalFormatting xmlns:xm="http://schemas.microsoft.com/office/excel/2006/main">
          <x14:cfRule type="expression" priority="308" id="{AC4A503E-01F6-4B36-A0BF-12807A40CD8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Y61:Y62 Y81:Y91 Y93 Y20:Y22 Y64:Y65 Y67 Y70:Y77 Y25:Y33 Y35:Y46 Y49:Y52</xm:sqref>
        </x14:conditionalFormatting>
        <x14:conditionalFormatting xmlns:xm="http://schemas.microsoft.com/office/excel/2006/main">
          <x14:cfRule type="expression" priority="299" id="{B0FDBB6C-BF57-4ADE-AE4B-CBE222758852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T61:T62 T81:T91 T93 T20:T22 T25:T33 T35:T46 T49:T52 T64:T65 T67 T70:T77</xm:sqref>
        </x14:conditionalFormatting>
        <x14:conditionalFormatting xmlns:xm="http://schemas.microsoft.com/office/excel/2006/main">
          <x14:cfRule type="expression" priority="300" id="{17AAF6CA-42EC-4483-9234-CC624942437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O61:O62 O81:O91 O93 O20:O22 O25:O33 O35:O46 O49:O52 O64:O65 O67 O70:O77</xm:sqref>
        </x14:conditionalFormatting>
        <x14:conditionalFormatting xmlns:xm="http://schemas.microsoft.com/office/excel/2006/main">
          <x14:cfRule type="expression" priority="264" id="{F6487D56-146D-401C-BFEB-948E7F7218E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E20:E22 E61:E62 E81:E91 E25:E33 E35:E54 E64:E65 E67 E70:E77</xm:sqref>
        </x14:conditionalFormatting>
        <x14:conditionalFormatting xmlns:xm="http://schemas.microsoft.com/office/excel/2006/main">
          <x14:cfRule type="expression" priority="332" id="{5DD8F6E0-3C87-4749-B6F8-51AFB2ACE8E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G20:G54 G61:G77 G81:G91</xm:sqref>
        </x14:conditionalFormatting>
        <x14:conditionalFormatting xmlns:xm="http://schemas.microsoft.com/office/excel/2006/main">
          <x14:cfRule type="expression" priority="298" id="{DC80460D-59A1-4B52-B024-591768F920C7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Z61:Z62 Z81:Z91 Z93 Z20:Z23 Z64:Z65 Z67 Z70:Z77 Z25:Z33 Z35:Z38 Z40:Z48</xm:sqref>
        </x14:conditionalFormatting>
        <x14:conditionalFormatting xmlns:xm="http://schemas.microsoft.com/office/excel/2006/main">
          <x14:cfRule type="expression" priority="297" id="{4AEFB6BD-3A92-4D5A-884E-6F0D75C28170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AE61:AE62 AE81:AE91 AE93 AE20:AE23 AE64:AE65 AE67 AE70:AE77 AE25:AE33 AE35:AE38 AE40:AE48</xm:sqref>
        </x14:conditionalFormatting>
        <x14:conditionalFormatting xmlns:xm="http://schemas.microsoft.com/office/excel/2006/main">
          <x14:cfRule type="expression" priority="296" id="{E0EF3828-6BF2-45A0-901C-0231A259158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AJ61:AJ77 AJ81:AJ91 AJ93 AJ20:AJ54</xm:sqref>
        </x14:conditionalFormatting>
        <x14:conditionalFormatting xmlns:xm="http://schemas.microsoft.com/office/excel/2006/main">
          <x14:cfRule type="expression" priority="295" id="{3FD000B1-6C6D-49B3-9AF5-0C6CB21C0627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AO61:AO62 AO81:AO91 AO93 AO20:AO23 AO64:AO65 AO67 AO70:AO77 AO25:AO33 AO35:AO38 AO40:AO48</xm:sqref>
        </x14:conditionalFormatting>
        <x14:conditionalFormatting xmlns:xm="http://schemas.microsoft.com/office/excel/2006/main">
          <x14:cfRule type="expression" priority="294" id="{6136E262-C8DF-49BA-8793-67762B54EFC1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AT61:AT62 AT81:AT91 AT93 AT20:AT23 AT64:AT65 AT67 AT70:AT77 AT25:AT33 AT35:AT38 AT40:AT48</xm:sqref>
        </x14:conditionalFormatting>
        <x14:conditionalFormatting xmlns:xm="http://schemas.microsoft.com/office/excel/2006/main">
          <x14:cfRule type="expression" priority="293" id="{9AB89BD6-035A-4874-AA08-2B950BFD0D80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AY61:AY62 AY81:AY91 AY93 AY20:AY23 AY64:AY65 AY67 AY70:AY77 AY25:AY33 AY35:AY38 AY40:AY48</xm:sqref>
        </x14:conditionalFormatting>
        <x14:conditionalFormatting xmlns:xm="http://schemas.microsoft.com/office/excel/2006/main">
          <x14:cfRule type="expression" priority="292" id="{C48643D4-33E2-49C0-9554-0CBC5F87EC18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BD61:BD62 BD81:BD91 BD93 BD20:BD23 BD64:BD65 BD67 BD70:BD77 BD25:BD33 BD35:BD38 BD40:BD48</xm:sqref>
        </x14:conditionalFormatting>
        <x14:conditionalFormatting xmlns:xm="http://schemas.microsoft.com/office/excel/2006/main">
          <x14:cfRule type="expression" priority="324" id="{52D78A58-3860-4B86-843E-331DE0B0A51C}">
            <xm:f>Postup!$J$74="Ne"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E97:F98 O97:P98 E96 O96</xm:sqref>
        </x14:conditionalFormatting>
        <x14:conditionalFormatting xmlns:xm="http://schemas.microsoft.com/office/excel/2006/main">
          <x14:cfRule type="expression" priority="323" id="{6A5EB64C-7F5A-4BA9-8636-5C528D3E8B0F}">
            <xm:f>AND(DAY(Postup!$H$24)=1,MONTH(Postup!$H$24)=1)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G18:H54 G60:H77 G80:H91</xm:sqref>
        </x14:conditionalFormatting>
        <x14:conditionalFormatting xmlns:xm="http://schemas.microsoft.com/office/excel/2006/main">
          <x14:cfRule type="expression" priority="3197" id="{ADEDFDD8-B6F7-4015-A188-11D10DDF1DA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BL20:BL54 BL61:BL77 BL81:BL91</xm:sqref>
        </x14:conditionalFormatting>
        <x14:conditionalFormatting xmlns:xm="http://schemas.microsoft.com/office/excel/2006/main">
          <x14:cfRule type="expression" priority="362" id="{FF52B023-F743-4506-9A61-707650CF4535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E36:F36</xm:sqref>
        </x14:conditionalFormatting>
        <x14:conditionalFormatting xmlns:xm="http://schemas.microsoft.com/office/excel/2006/main">
          <x14:cfRule type="expression" priority="3143" id="{3E768072-3B58-479A-9263-B0C3A718F2BB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expression" priority="3475" id="{8729268B-DECA-4057-B854-30BBDDD95131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T36:U36</xm:sqref>
        </x14:conditionalFormatting>
        <x14:conditionalFormatting xmlns:xm="http://schemas.microsoft.com/office/excel/2006/main">
          <x14:cfRule type="expression" priority="336" id="{D15CB821-D971-4D62-9869-2BB2C68AC9EB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Y36:Z36</xm:sqref>
        </x14:conditionalFormatting>
        <x14:conditionalFormatting xmlns:xm="http://schemas.microsoft.com/office/excel/2006/main">
          <x14:cfRule type="expression" priority="337" id="{40E8336B-D27C-406F-9CF9-EC6CBE58292A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AD36:AE36</xm:sqref>
        </x14:conditionalFormatting>
        <x14:conditionalFormatting xmlns:xm="http://schemas.microsoft.com/office/excel/2006/main">
          <x14:cfRule type="expression" priority="338" id="{063370ED-4ACC-4014-8DE2-DDF1ED53944E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AI36:AJ36</xm:sqref>
        </x14:conditionalFormatting>
        <x14:conditionalFormatting xmlns:xm="http://schemas.microsoft.com/office/excel/2006/main">
          <x14:cfRule type="expression" priority="339" id="{3D7100E4-372B-4B32-9034-E8B4DF88DBA0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AN36:AO36</xm:sqref>
        </x14:conditionalFormatting>
        <x14:conditionalFormatting xmlns:xm="http://schemas.microsoft.com/office/excel/2006/main">
          <x14:cfRule type="expression" priority="340" id="{CA675856-BF4B-40B1-BA32-BE4CF29BF615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AS36:AT36</xm:sqref>
        </x14:conditionalFormatting>
        <x14:conditionalFormatting xmlns:xm="http://schemas.microsoft.com/office/excel/2006/main">
          <x14:cfRule type="expression" priority="341" id="{48D7D6F4-AD67-46AC-A66C-92B6A59AAC47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AX36:AY36</xm:sqref>
        </x14:conditionalFormatting>
        <x14:conditionalFormatting xmlns:xm="http://schemas.microsoft.com/office/excel/2006/main">
          <x14:cfRule type="expression" priority="2863" id="{B1025894-91B4-4E78-9687-6E0363692509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BC36:BD36</xm:sqref>
        </x14:conditionalFormatting>
        <x14:conditionalFormatting xmlns:xm="http://schemas.microsoft.com/office/excel/2006/main">
          <x14:cfRule type="expression" priority="2839" id="{20C8C8AE-D7B4-475A-B736-90AD6E7BB3E4}">
            <xm:f>Postup!$K$18="2"</xm:f>
            <x14:dxf>
              <font>
                <color theme="0"/>
              </font>
              <fill>
                <patternFill>
                  <bgColor rgb="FF33CC33"/>
                </patternFill>
              </fill>
            </x14:dxf>
          </x14:cfRule>
          <xm:sqref>BH36:BI36</xm:sqref>
        </x14:conditionalFormatting>
        <x14:conditionalFormatting xmlns:xm="http://schemas.microsoft.com/office/excel/2006/main">
          <x14:cfRule type="expression" priority="320" id="{023908CE-BEF6-42C4-87C5-7032FA5514CC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4" id="{34169D66-18F8-4AEB-8798-6F47188AE0F0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O62:P62</xm:sqref>
        </x14:conditionalFormatting>
        <x14:conditionalFormatting xmlns:xm="http://schemas.microsoft.com/office/excel/2006/main">
          <x14:cfRule type="expression" priority="319" id="{32C6BCD9-999D-448E-BEE6-E58A24DD9C69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5" id="{7E59DC21-6ADD-4E6A-A34B-BD47BAF63400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T62:U62</xm:sqref>
        </x14:conditionalFormatting>
        <x14:conditionalFormatting xmlns:xm="http://schemas.microsoft.com/office/excel/2006/main">
          <x14:cfRule type="expression" priority="318" id="{2800BBDD-2F47-4374-9590-C157CA8B36EA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1" id="{950736C3-8EB5-46C2-95C6-47ACEAC514FD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Y62:Z62</xm:sqref>
        </x14:conditionalFormatting>
        <x14:conditionalFormatting xmlns:xm="http://schemas.microsoft.com/office/excel/2006/main">
          <x14:cfRule type="expression" priority="317" id="{835095A8-8322-4222-ABC4-BBDC8E24BF00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0" id="{8FC08621-EC61-4CD9-B843-35C0F0AB9C6C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AD62:AE62</xm:sqref>
        </x14:conditionalFormatting>
        <x14:conditionalFormatting xmlns:xm="http://schemas.microsoft.com/office/excel/2006/main">
          <x14:cfRule type="expression" priority="316" id="{1C67FF8D-61FC-45DA-A6EE-7170E415E6DC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29" id="{B37EAE7F-A99E-4F21-AF5E-23833F5F9C09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AI62:AJ62</xm:sqref>
        </x14:conditionalFormatting>
        <x14:conditionalFormatting xmlns:xm="http://schemas.microsoft.com/office/excel/2006/main">
          <x14:cfRule type="expression" priority="315" id="{F47F1765-421D-45C7-99E1-17FC06C0C562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28" id="{511CD7F2-74CD-4ED3-8C80-6A0205FDF700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AN62:AO62</xm:sqref>
        </x14:conditionalFormatting>
        <x14:conditionalFormatting xmlns:xm="http://schemas.microsoft.com/office/excel/2006/main">
          <x14:cfRule type="expression" priority="314" id="{68FB9386-962D-42D9-A568-5ECD6EE9447E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27" id="{E4C85DFC-9C8C-4BBA-BF68-602D3A582CB3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AS62:AT62</xm:sqref>
        </x14:conditionalFormatting>
        <x14:conditionalFormatting xmlns:xm="http://schemas.microsoft.com/office/excel/2006/main">
          <x14:cfRule type="expression" priority="313" id="{CC958E07-BC74-4920-8782-F7ECEE692E49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26" id="{DBAE2DBE-8343-4C67-BE20-2B095860D383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AX62:AY62</xm:sqref>
        </x14:conditionalFormatting>
        <x14:conditionalFormatting xmlns:xm="http://schemas.microsoft.com/office/excel/2006/main">
          <x14:cfRule type="expression" priority="312" id="{35679654-D3AD-4FF9-AFF2-DC286123E82F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25" id="{92626B8A-FAC2-433E-8A5A-5E2B402B6637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BC62:BD62</xm:sqref>
        </x14:conditionalFormatting>
        <x14:conditionalFormatting xmlns:xm="http://schemas.microsoft.com/office/excel/2006/main">
          <x14:cfRule type="expression" priority="311" id="{8F58A814-4390-43EA-93E2-AE4149DDD97B}">
            <xm:f>AND(Postup!$O$44="Ne",Postup!$O$45="Ne")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2" id="{108DCC6E-6F59-4B79-83E6-706D0FADE5B8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BH62:BI62</xm:sqref>
        </x14:conditionalFormatting>
        <x14:conditionalFormatting xmlns:xm="http://schemas.microsoft.com/office/excel/2006/main">
          <x14:cfRule type="expression" priority="289" id="{96BA602A-7557-4A01-9101-F2EE85FFD425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Q16:R16</xm:sqref>
        </x14:conditionalFormatting>
        <x14:conditionalFormatting xmlns:xm="http://schemas.microsoft.com/office/excel/2006/main">
          <x14:cfRule type="expression" priority="288" id="{47A03431-37AD-42ED-BF2A-4610584AC8C0}">
            <xm:f>$T$18&gt;Postup!$J$25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T60:U62 T80:U91 T93:U93 V16:W16 T18:U22 T25:U33 U23 T35:U38 T40:U46 T39 U47:U48 T49:T52 T64:U65 T67:U67 T70:U77</xm:sqref>
        </x14:conditionalFormatting>
        <x14:conditionalFormatting xmlns:xm="http://schemas.microsoft.com/office/excel/2006/main">
          <x14:cfRule type="expression" priority="287" id="{48478416-B3A9-4703-B340-979FAB532006}">
            <xm:f>$Y$18&gt;Postup!$J$25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AA16:AB16 Y60:Z62 Y80:Z91 Y93:Z93 Y18:Z22 Y64:Z65 Y67:Z67 Y70:Z77 Y25:Z33 Z23 Y35:Z38 Y40:Z46 Y39 Z47:Z48 Y49:Y52</xm:sqref>
        </x14:conditionalFormatting>
        <x14:conditionalFormatting xmlns:xm="http://schemas.microsoft.com/office/excel/2006/main">
          <x14:cfRule type="expression" priority="286" id="{6E642225-383F-4204-9528-0ED6A582906B}">
            <xm:f>$AD$18&gt;Postup!$J$25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AF16:AG16</xm:sqref>
        </x14:conditionalFormatting>
        <x14:conditionalFormatting xmlns:xm="http://schemas.microsoft.com/office/excel/2006/main">
          <x14:cfRule type="expression" priority="285" id="{08C4FD78-C8CF-46C9-8469-6303CA7F044B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AK16:AL16 AI80:AJ91 AI93:AJ93 AI60:AJ77 AI18:AJ54</xm:sqref>
        </x14:conditionalFormatting>
        <x14:conditionalFormatting xmlns:xm="http://schemas.microsoft.com/office/excel/2006/main">
          <x14:cfRule type="expression" priority="284" id="{1C5B5366-6FDC-4553-90B7-0D13280FD899}">
            <xm:f>$AN$18&gt;Postup!$J$25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AP16:AQ16 AN60:AO62 AN80:AO91 AN93:AO93 AN18:AO22 AN64:AO65 AN67:AO67 AN70:AO77 AN25:AO33 AO23 AN35:AO38 AN40:AO46 AN39 AO47:AO48 AN49:AN52</xm:sqref>
        </x14:conditionalFormatting>
        <x14:conditionalFormatting xmlns:xm="http://schemas.microsoft.com/office/excel/2006/main">
          <x14:cfRule type="expression" priority="283" id="{85401EAA-697D-4465-B1FC-36B7F1F78FE0}">
            <xm:f>$AS$18&gt;Postup!$J$25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AU16:AV16 AS60:AT62 AS80:AT91 AS93:AT93 AS18:AT22 AS64:AT65 AS67:AT67 AS70:AT77 AS25:AT33 AT23 AS35:AT38 AS40:AT46 AS39 AT47:AT48 AS49:AS52</xm:sqref>
        </x14:conditionalFormatting>
        <x14:conditionalFormatting xmlns:xm="http://schemas.microsoft.com/office/excel/2006/main">
          <x14:cfRule type="expression" priority="282" id="{79B14C05-192B-48BE-BEA8-CB988538D5CC}">
            <xm:f>$AX$18&gt;Postup!$J$25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AZ16:BA16 AX60:AY62 AX80:AY91 AX93:AY93 AX18:AY22 AX64:AY65 AX67:AY67 AX70:AY77 AX25:AY33 AY23 AX35:AY38 AX40:AY46 AX39 AY47:AY48 AX49:AX52</xm:sqref>
        </x14:conditionalFormatting>
        <x14:conditionalFormatting xmlns:xm="http://schemas.microsoft.com/office/excel/2006/main">
          <x14:cfRule type="expression" priority="281" id="{173C42E2-8A83-41B6-9520-B2D56D6200CA}">
            <xm:f>$BC$18&gt;Postup!$J$25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BE16:BF16 BC60:BD62 BC80:BD91 BC93:BD93 BC18:BD22 BC64:BD65 BC67:BD67 BC70:BD77 BC25:BD33 BD23 BC35:BD38 BC40:BD46 BC39 BD47:BD48 BC49:BC52</xm:sqref>
        </x14:conditionalFormatting>
        <x14:conditionalFormatting xmlns:xm="http://schemas.microsoft.com/office/excel/2006/main">
          <x14:cfRule type="expression" priority="280" id="{B6C7E879-2CCF-4A2F-897D-9D85A648E024}">
            <xm:f>$BH$18&gt;Postup!$J$25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BJ16:BK16 BH60:BI62 BH80:BI91 BH93:BI93 BH18:BI22 BH64:BI65 BH67:BI67 BH70:BI77 BH25:BI33 BI23 BH35:BI38 BH40:BI46 BH39 BI47:BI48 BH49:BH52</xm:sqref>
        </x14:conditionalFormatting>
        <x14:conditionalFormatting xmlns:xm="http://schemas.microsoft.com/office/excel/2006/main">
          <x14:cfRule type="expression" priority="278" id="{0E7F8966-6860-4755-86C7-33B7D2FEEBA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AP42:AP43</xm:sqref>
        </x14:conditionalFormatting>
        <x14:conditionalFormatting xmlns:xm="http://schemas.microsoft.com/office/excel/2006/main">
          <x14:cfRule type="expression" priority="279" id="{DE89E235-5C46-435B-8FB1-41B79D001BEA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AP42:AP43</xm:sqref>
        </x14:conditionalFormatting>
        <x14:conditionalFormatting xmlns:xm="http://schemas.microsoft.com/office/excel/2006/main">
          <x14:cfRule type="expression" priority="275" id="{5915188B-0719-4D43-B85D-A1EBE97BE0DE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AQ42:AQ43</xm:sqref>
        </x14:conditionalFormatting>
        <x14:conditionalFormatting xmlns:xm="http://schemas.microsoft.com/office/excel/2006/main">
          <x14:cfRule type="expression" priority="276" id="{D8905ED4-50ED-4EBC-B687-487C179377F1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AQ42:AQ43</xm:sqref>
        </x14:conditionalFormatting>
        <x14:conditionalFormatting xmlns:xm="http://schemas.microsoft.com/office/excel/2006/main">
          <x14:cfRule type="expression" priority="272" id="{06BF4D80-6D5D-429D-86BF-95F003DB6F2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AP34</xm:sqref>
        </x14:conditionalFormatting>
        <x14:conditionalFormatting xmlns:xm="http://schemas.microsoft.com/office/excel/2006/main">
          <x14:cfRule type="expression" priority="273" id="{8EFD76D4-B7BB-40EF-BDBB-0A1FC941F0AC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AP34</xm:sqref>
        </x14:conditionalFormatting>
        <x14:conditionalFormatting xmlns:xm="http://schemas.microsoft.com/office/excel/2006/main">
          <x14:cfRule type="expression" priority="269" id="{D4DE2AE7-F915-4A3E-B7F6-C1771A6E9E8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AQ34</xm:sqref>
        </x14:conditionalFormatting>
        <x14:conditionalFormatting xmlns:xm="http://schemas.microsoft.com/office/excel/2006/main">
          <x14:cfRule type="expression" priority="270" id="{24DBE904-B8BC-405A-8995-150E128D6374}">
            <xm:f>$O$18&gt;Postup!$J$25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AQ34</xm:sqref>
        </x14:conditionalFormatting>
        <x14:conditionalFormatting xmlns:xm="http://schemas.microsoft.com/office/excel/2006/main">
          <x14:cfRule type="expression" priority="267" id="{996555BF-1A85-453E-85B6-82604DA49502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F100</xm:sqref>
        </x14:conditionalFormatting>
        <x14:conditionalFormatting xmlns:xm="http://schemas.microsoft.com/office/excel/2006/main">
          <x14:cfRule type="expression" priority="265" id="{950F0442-149E-40D9-96DC-120B43203F5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E100</xm:sqref>
        </x14:conditionalFormatting>
        <x14:conditionalFormatting xmlns:xm="http://schemas.microsoft.com/office/excel/2006/main">
          <x14:cfRule type="expression" priority="266" id="{27E3E4C5-2C31-4BEB-AA57-4A909F6B8C9B}">
            <xm:f>Postup!$J$74="Ne"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E100:F100</xm:sqref>
        </x14:conditionalFormatting>
        <x14:conditionalFormatting xmlns:xm="http://schemas.microsoft.com/office/excel/2006/main">
          <x14:cfRule type="expression" priority="333" id="{EFBC6354-29F7-4661-9DE3-01D95AD3A147}">
            <xm:f>OR(Postup!$O$44="Ano",Postup!$O$45="Ano")</xm:f>
            <x14:dxf>
              <font>
                <color theme="0"/>
              </font>
              <fill>
                <patternFill>
                  <bgColor rgb="FFFF9900"/>
                </patternFill>
              </fill>
            </x14:dxf>
          </x14:cfRule>
          <xm:sqref>E62:F62</xm:sqref>
        </x14:conditionalFormatting>
        <x14:conditionalFormatting xmlns:xm="http://schemas.microsoft.com/office/excel/2006/main">
          <x14:cfRule type="expression" priority="255" id="{5913F6F1-662C-4DC9-B874-C73B64FC9235}">
            <xm:f>OR($O$63&gt;Výpočty!$J$31,$P$63&gt;Výpočty!$K$31)</xm:f>
            <x14:dxf>
              <font>
                <b/>
                <i val="0"/>
                <color rgb="FFFF0000"/>
              </font>
            </x14:dxf>
          </x14:cfRule>
          <xm:sqref>N63</xm:sqref>
        </x14:conditionalFormatting>
        <x14:conditionalFormatting xmlns:xm="http://schemas.microsoft.com/office/excel/2006/main">
          <x14:cfRule type="expression" priority="254" id="{CB1FF518-DCFC-4F09-A13D-BE761B6FFF2E}">
            <xm:f>OR($O$66&gt;Výpočty!$J$32,$P$66&gt;Výpočty!$K$32)</xm:f>
            <x14:dxf>
              <font>
                <b/>
                <i val="0"/>
                <color rgb="FFFF0000"/>
              </font>
            </x14:dxf>
          </x14:cfRule>
          <xm:sqref>N65:N66</xm:sqref>
        </x14:conditionalFormatting>
        <x14:conditionalFormatting xmlns:xm="http://schemas.microsoft.com/office/excel/2006/main">
          <x14:cfRule type="expression" priority="253" id="{995B952C-9935-4563-970D-B98BC7AACEF8}">
            <xm:f>OR($O$68&lt;Výpočty!$J$33,$P$68&lt;Výpočty!$K$33)</xm:f>
            <x14:dxf>
              <font>
                <b/>
                <i val="0"/>
                <color rgb="FFFF0000"/>
              </font>
            </x14:dxf>
          </x14:cfRule>
          <xm:sqref>N67:N68</xm:sqref>
        </x14:conditionalFormatting>
        <x14:conditionalFormatting xmlns:xm="http://schemas.microsoft.com/office/excel/2006/main">
          <x14:cfRule type="expression" priority="252" id="{C0C86A91-67CC-4F42-8DD9-591FBADFB4B1}">
            <xm:f>OR($O$69&gt;Výpočty!$J$34,$P$69&gt;Výpočty!$K$34)</xm:f>
            <x14:dxf>
              <font>
                <b/>
                <i val="0"/>
                <color rgb="FFFF0000"/>
              </font>
            </x14:dxf>
          </x14:cfRule>
          <xm:sqref>N69</xm:sqref>
        </x14:conditionalFormatting>
        <x14:conditionalFormatting xmlns:xm="http://schemas.microsoft.com/office/excel/2006/main">
          <x14:cfRule type="expression" priority="251" id="{AA2E79EF-BC21-4642-9B0B-EB41AD5C5F4B}">
            <xm:f>OR($T$63&gt;Výpočty!$L$31,$U$63&gt;Výpočty!$M$31)</xm:f>
            <x14:dxf>
              <font>
                <b/>
                <i val="0"/>
                <color rgb="FFFF0000"/>
              </font>
            </x14:dxf>
          </x14:cfRule>
          <xm:sqref>S63</xm:sqref>
        </x14:conditionalFormatting>
        <x14:conditionalFormatting xmlns:xm="http://schemas.microsoft.com/office/excel/2006/main">
          <x14:cfRule type="expression" priority="250" id="{65B26467-2B4F-4417-9F9D-47986B36FE7E}">
            <xm:f>OR($T$66&gt;Výpočty!$L$32,$U$66&gt;Výpočty!$M$32)</xm:f>
            <x14:dxf>
              <font>
                <b/>
                <i val="0"/>
                <color rgb="FFFF0000"/>
              </font>
            </x14:dxf>
          </x14:cfRule>
          <xm:sqref>S65:S66</xm:sqref>
        </x14:conditionalFormatting>
        <x14:conditionalFormatting xmlns:xm="http://schemas.microsoft.com/office/excel/2006/main">
          <x14:cfRule type="expression" priority="249" id="{0B3F6899-7CB7-4841-A0B2-B64A3EF4EF41}">
            <xm:f>OR($T$68&lt;Výpočty!$L$33,$U$68&lt;Výpočty!$M$33)</xm:f>
            <x14:dxf>
              <font>
                <b/>
                <i val="0"/>
                <color rgb="FFFF0000"/>
              </font>
            </x14:dxf>
          </x14:cfRule>
          <xm:sqref>S67:S68</xm:sqref>
        </x14:conditionalFormatting>
        <x14:conditionalFormatting xmlns:xm="http://schemas.microsoft.com/office/excel/2006/main">
          <x14:cfRule type="expression" priority="248" id="{6DE8021B-1715-4785-BFF8-F90082D26543}">
            <xm:f>OR($T$69&gt;Výpočty!$L$34,$U$69&gt;Výpočty!$M$34)</xm:f>
            <x14:dxf>
              <font>
                <b/>
                <i val="0"/>
                <color rgb="FFFF0000"/>
              </font>
            </x14:dxf>
          </x14:cfRule>
          <xm:sqref>S69</xm:sqref>
        </x14:conditionalFormatting>
        <x14:conditionalFormatting xmlns:xm="http://schemas.microsoft.com/office/excel/2006/main">
          <x14:cfRule type="expression" priority="247" id="{E3E59F62-A4FA-4641-820E-B959F2E0B689}">
            <xm:f>OR($Y$63&gt;Výpočty!$N$31,$Z$63&gt;Výpočty!$O$31)</xm:f>
            <x14:dxf>
              <font>
                <b/>
                <i val="0"/>
                <color rgb="FFFF0000"/>
              </font>
            </x14:dxf>
          </x14:cfRule>
          <xm:sqref>X63</xm:sqref>
        </x14:conditionalFormatting>
        <x14:conditionalFormatting xmlns:xm="http://schemas.microsoft.com/office/excel/2006/main">
          <x14:cfRule type="expression" priority="246" id="{E6B30DF7-1C72-4284-9F60-F56E136B170C}">
            <xm:f>OR($Y$66&gt;Výpočty!$N$32,$Z$66&gt;Výpočty!$O$32)</xm:f>
            <x14:dxf>
              <font>
                <b/>
                <i val="0"/>
                <color rgb="FFFF0000"/>
              </font>
            </x14:dxf>
          </x14:cfRule>
          <xm:sqref>X65:X66</xm:sqref>
        </x14:conditionalFormatting>
        <x14:conditionalFormatting xmlns:xm="http://schemas.microsoft.com/office/excel/2006/main">
          <x14:cfRule type="expression" priority="245" id="{50B04248-A691-4E61-9B82-5DCBF95B0F50}">
            <xm:f>OR($Y$68&lt;Výpočty!$N$33,$Z$68&lt;Výpočty!$O$33)</xm:f>
            <x14:dxf>
              <font>
                <b/>
                <i val="0"/>
                <color rgb="FFFF0000"/>
              </font>
            </x14:dxf>
          </x14:cfRule>
          <xm:sqref>X67:X68</xm:sqref>
        </x14:conditionalFormatting>
        <x14:conditionalFormatting xmlns:xm="http://schemas.microsoft.com/office/excel/2006/main">
          <x14:cfRule type="expression" priority="244" id="{6F0C4AB3-3447-4F0F-9252-CC0FE3924709}">
            <xm:f>OR($Y$69&gt;Výpočty!$N$34,$Z$69&gt;Výpočty!$O$34)</xm:f>
            <x14:dxf>
              <font>
                <b/>
                <i val="0"/>
                <color rgb="FFFF0000"/>
              </font>
            </x14:dxf>
          </x14:cfRule>
          <xm:sqref>X69</xm:sqref>
        </x14:conditionalFormatting>
        <x14:conditionalFormatting xmlns:xm="http://schemas.microsoft.com/office/excel/2006/main">
          <x14:cfRule type="expression" priority="243" id="{B88F2203-FC56-4532-A988-0BA236BFA5E3}">
            <xm:f>OR($AD$63&gt;Výpočty!$P$31,$AE$63&gt;Výpočty!$Q$31)</xm:f>
            <x14:dxf>
              <font>
                <b/>
                <i val="0"/>
                <color rgb="FFFF0000"/>
              </font>
            </x14:dxf>
          </x14:cfRule>
          <xm:sqref>AC63</xm:sqref>
        </x14:conditionalFormatting>
        <x14:conditionalFormatting xmlns:xm="http://schemas.microsoft.com/office/excel/2006/main">
          <x14:cfRule type="expression" priority="242" id="{57DE4E09-C593-48BC-BC9D-64C154569325}">
            <xm:f>OR($AD$66&gt;Výpočty!$P$32,$AE$66&gt;Výpočty!$Q$32)</xm:f>
            <x14:dxf>
              <font>
                <b/>
                <i val="0"/>
                <color rgb="FFFF0000"/>
              </font>
            </x14:dxf>
          </x14:cfRule>
          <xm:sqref>AC65:AC66</xm:sqref>
        </x14:conditionalFormatting>
        <x14:conditionalFormatting xmlns:xm="http://schemas.microsoft.com/office/excel/2006/main">
          <x14:cfRule type="expression" priority="241" id="{E7B9CEA9-9606-4FC9-BE03-1D7655C0310B}">
            <xm:f>OR($AD$68&lt;Výpočty!$P$33,$AE$68&lt;Výpočty!$Q$33)</xm:f>
            <x14:dxf>
              <font>
                <b/>
                <i val="0"/>
                <color rgb="FFFF0000"/>
              </font>
            </x14:dxf>
          </x14:cfRule>
          <xm:sqref>AC67:AC68</xm:sqref>
        </x14:conditionalFormatting>
        <x14:conditionalFormatting xmlns:xm="http://schemas.microsoft.com/office/excel/2006/main">
          <x14:cfRule type="expression" priority="240" id="{36A437A6-910C-49EC-A739-11C8C3662F24}">
            <xm:f>OR($AD$69&gt;Výpočty!$P$34,$AE$69&gt;Výpočty!$Q$34)</xm:f>
            <x14:dxf>
              <font>
                <b/>
                <i val="0"/>
                <color rgb="FFFF0000"/>
              </font>
            </x14:dxf>
          </x14:cfRule>
          <xm:sqref>AC69</xm:sqref>
        </x14:conditionalFormatting>
        <x14:conditionalFormatting xmlns:xm="http://schemas.microsoft.com/office/excel/2006/main">
          <x14:cfRule type="expression" priority="239" id="{916EC1AE-6987-498F-86F3-89201BF364A2}">
            <xm:f>OR($AI$63&gt;Výpočty!$R$31,$AJ$63&gt;Výpočty!$S$31)</xm:f>
            <x14:dxf>
              <font>
                <b/>
                <i val="0"/>
                <color rgb="FFFF0000"/>
              </font>
            </x14:dxf>
          </x14:cfRule>
          <xm:sqref>AH63</xm:sqref>
        </x14:conditionalFormatting>
        <x14:conditionalFormatting xmlns:xm="http://schemas.microsoft.com/office/excel/2006/main">
          <x14:cfRule type="expression" priority="238" id="{DCA3B25A-2E9E-4ED9-B3EE-007FFAAE70D4}">
            <xm:f>OR($AI$66&gt;Výpočty!$R$32,$AJ$66&gt;Výpočty!$S$32)</xm:f>
            <x14:dxf>
              <font>
                <b/>
                <i val="0"/>
                <color rgb="FFFF0000"/>
              </font>
            </x14:dxf>
          </x14:cfRule>
          <xm:sqref>AH65:AH66</xm:sqref>
        </x14:conditionalFormatting>
        <x14:conditionalFormatting xmlns:xm="http://schemas.microsoft.com/office/excel/2006/main">
          <x14:cfRule type="expression" priority="237" id="{1C49FB34-005E-4CE6-A6AF-4BB555B55C42}">
            <xm:f>OR($AI$68&lt;Výpočty!$R$33,$AJ$68&lt;Výpočty!$S$33)</xm:f>
            <x14:dxf>
              <font>
                <b/>
                <i val="0"/>
                <color rgb="FFFF0000"/>
              </font>
            </x14:dxf>
          </x14:cfRule>
          <xm:sqref>AH67:AH68</xm:sqref>
        </x14:conditionalFormatting>
        <x14:conditionalFormatting xmlns:xm="http://schemas.microsoft.com/office/excel/2006/main">
          <x14:cfRule type="expression" priority="236" id="{03513C07-83EA-4792-90C2-2820AEB7A970}">
            <xm:f>OR($AI$69&gt;Výpočty!$R$34,$AJ$69&gt;Výpočty!$S$34)</xm:f>
            <x14:dxf>
              <font>
                <b/>
                <i val="0"/>
                <color rgb="FFFF0000"/>
              </font>
            </x14:dxf>
          </x14:cfRule>
          <xm:sqref>AH69</xm:sqref>
        </x14:conditionalFormatting>
        <x14:conditionalFormatting xmlns:xm="http://schemas.microsoft.com/office/excel/2006/main">
          <x14:cfRule type="expression" priority="235" id="{538E9E8B-579A-4111-A4FE-184572829971}">
            <xm:f>OR($AN$63&gt;Výpočty!$T$31,$AO$63&gt;Výpočty!$U$31)</xm:f>
            <x14:dxf>
              <font>
                <b/>
                <i val="0"/>
                <color rgb="FFFF0000"/>
              </font>
            </x14:dxf>
          </x14:cfRule>
          <xm:sqref>AM63</xm:sqref>
        </x14:conditionalFormatting>
        <x14:conditionalFormatting xmlns:xm="http://schemas.microsoft.com/office/excel/2006/main">
          <x14:cfRule type="expression" priority="234" id="{5AA9A163-73EE-425A-8497-7654C81B07C2}">
            <xm:f>OR($AN$66&gt;Výpočty!$T$32,$AO$66&gt;Výpočty!$U$32)</xm:f>
            <x14:dxf>
              <font>
                <b/>
                <i val="0"/>
                <color rgb="FFFF0000"/>
              </font>
            </x14:dxf>
          </x14:cfRule>
          <xm:sqref>AM65:AM66</xm:sqref>
        </x14:conditionalFormatting>
        <x14:conditionalFormatting xmlns:xm="http://schemas.microsoft.com/office/excel/2006/main">
          <x14:cfRule type="expression" priority="233" id="{57636CE1-AF7D-485A-A7D9-B83EEE85BA04}">
            <xm:f>OR($AN$68&lt;Výpočty!$T$33,$AO$68&lt;Výpočty!$U$33)</xm:f>
            <x14:dxf>
              <font>
                <b/>
                <i val="0"/>
                <color rgb="FFFF0000"/>
              </font>
            </x14:dxf>
          </x14:cfRule>
          <xm:sqref>AM67:AM68</xm:sqref>
        </x14:conditionalFormatting>
        <x14:conditionalFormatting xmlns:xm="http://schemas.microsoft.com/office/excel/2006/main">
          <x14:cfRule type="expression" priority="232" id="{A8DEB85B-8166-4920-9EBC-B4F4A1F57881}">
            <xm:f>OR($AN$69&gt;Výpočty!$T$34,$AO$69&gt;Výpočty!$U$34)</xm:f>
            <x14:dxf>
              <font>
                <b/>
                <i val="0"/>
                <color rgb="FFFF0000"/>
              </font>
            </x14:dxf>
          </x14:cfRule>
          <xm:sqref>AM69</xm:sqref>
        </x14:conditionalFormatting>
        <x14:conditionalFormatting xmlns:xm="http://schemas.microsoft.com/office/excel/2006/main">
          <x14:cfRule type="expression" priority="231" id="{1ED237DF-8B51-4CEC-93F8-7BFEE7929134}">
            <xm:f>OR($AS$63&gt;Výpočty!$V$31,$AT$63&gt;Výpočty!$W$31)</xm:f>
            <x14:dxf>
              <font>
                <b/>
                <i val="0"/>
                <color rgb="FFFF0000"/>
              </font>
            </x14:dxf>
          </x14:cfRule>
          <xm:sqref>AR63</xm:sqref>
        </x14:conditionalFormatting>
        <x14:conditionalFormatting xmlns:xm="http://schemas.microsoft.com/office/excel/2006/main">
          <x14:cfRule type="expression" priority="230" id="{128A1BF5-6296-4E91-A534-25A30D6AECD8}">
            <xm:f>OR($AS$66&gt;Výpočty!$V$32,$AT$66&gt;Výpočty!$W$32)</xm:f>
            <x14:dxf>
              <font>
                <b/>
                <i val="0"/>
                <color rgb="FFFF0000"/>
              </font>
            </x14:dxf>
          </x14:cfRule>
          <xm:sqref>AR65:AR66</xm:sqref>
        </x14:conditionalFormatting>
        <x14:conditionalFormatting xmlns:xm="http://schemas.microsoft.com/office/excel/2006/main">
          <x14:cfRule type="expression" priority="229" id="{C3E2D27F-F7E1-4647-945D-1EC01C7D9171}">
            <xm:f>OR($AS$68&lt;Výpočty!$V$33,$AT$68&lt;Výpočty!$W$33)</xm:f>
            <x14:dxf>
              <font>
                <b/>
                <i val="0"/>
                <color rgb="FFFF0000"/>
              </font>
            </x14:dxf>
          </x14:cfRule>
          <xm:sqref>AR67:AR68</xm:sqref>
        </x14:conditionalFormatting>
        <x14:conditionalFormatting xmlns:xm="http://schemas.microsoft.com/office/excel/2006/main">
          <x14:cfRule type="expression" priority="228" id="{E5AB99B1-7A60-423C-9746-611F8D9F688E}">
            <xm:f>OR($AS$69&gt;Výpočty!$V$34,$AT$69&gt;Výpočty!$W$34)</xm:f>
            <x14:dxf>
              <font>
                <b/>
                <i val="0"/>
                <color rgb="FFFF0000"/>
              </font>
            </x14:dxf>
          </x14:cfRule>
          <xm:sqref>AR69</xm:sqref>
        </x14:conditionalFormatting>
        <x14:conditionalFormatting xmlns:xm="http://schemas.microsoft.com/office/excel/2006/main">
          <x14:cfRule type="expression" priority="227" id="{EABF5FEC-FA83-4320-8718-00D0755B4848}">
            <xm:f>OR($AX$63&gt;Výpočty!$X$31,$AY$63&gt;Výpočty!$Y$31)</xm:f>
            <x14:dxf>
              <font>
                <b/>
                <i val="0"/>
                <color rgb="FFFF0000"/>
              </font>
            </x14:dxf>
          </x14:cfRule>
          <xm:sqref>AW63</xm:sqref>
        </x14:conditionalFormatting>
        <x14:conditionalFormatting xmlns:xm="http://schemas.microsoft.com/office/excel/2006/main">
          <x14:cfRule type="expression" priority="226" id="{ACEB9E52-C0DA-45E5-972B-D0F68BCB83AC}">
            <xm:f>OR($AX$66&gt;Výpočty!$X$32,$AY$66&gt;Výpočty!$Y$32)</xm:f>
            <x14:dxf>
              <font>
                <b/>
                <i val="0"/>
                <color rgb="FFFF0000"/>
              </font>
            </x14:dxf>
          </x14:cfRule>
          <xm:sqref>AW65:AW66</xm:sqref>
        </x14:conditionalFormatting>
        <x14:conditionalFormatting xmlns:xm="http://schemas.microsoft.com/office/excel/2006/main">
          <x14:cfRule type="expression" priority="225" id="{C2AFE0D5-E1F5-4F3E-A6BC-35F649221D6B}">
            <xm:f>OR($AX$68&lt;Výpočty!$X$33,$AY$68&lt;Výpočty!$Y$33)</xm:f>
            <x14:dxf>
              <font>
                <b/>
                <i val="0"/>
                <color rgb="FFFF0000"/>
              </font>
            </x14:dxf>
          </x14:cfRule>
          <xm:sqref>AW67:AW68</xm:sqref>
        </x14:conditionalFormatting>
        <x14:conditionalFormatting xmlns:xm="http://schemas.microsoft.com/office/excel/2006/main">
          <x14:cfRule type="expression" priority="224" id="{34B7153F-5A4B-407C-A5BF-C82FF15C7BFD}">
            <xm:f>OR($AX$69&gt;Výpočty!$X$34,$AY$69&gt;Výpočty!$Y$34)</xm:f>
            <x14:dxf>
              <font>
                <b/>
                <i val="0"/>
                <color rgb="FFFF0000"/>
              </font>
            </x14:dxf>
          </x14:cfRule>
          <xm:sqref>AW69</xm:sqref>
        </x14:conditionalFormatting>
        <x14:conditionalFormatting xmlns:xm="http://schemas.microsoft.com/office/excel/2006/main">
          <x14:cfRule type="expression" priority="223" id="{5B893713-3D5F-4483-8F38-211277493E1A}">
            <xm:f>OR($BC$63&gt;Výpočty!$Z$31,$BD$63&gt;Výpočty!$AA$31)</xm:f>
            <x14:dxf>
              <font>
                <b/>
                <i val="0"/>
                <color rgb="FFFF0000"/>
              </font>
            </x14:dxf>
          </x14:cfRule>
          <xm:sqref>BB63</xm:sqref>
        </x14:conditionalFormatting>
        <x14:conditionalFormatting xmlns:xm="http://schemas.microsoft.com/office/excel/2006/main">
          <x14:cfRule type="expression" priority="222" id="{93A1D595-2BF1-4385-B736-4739CDFA7445}">
            <xm:f>OR($BC$66&gt;Výpočty!$Z$32,$BD$66&gt;Výpočty!$AA$32)</xm:f>
            <x14:dxf>
              <font>
                <b/>
                <i val="0"/>
                <color rgb="FFFF0000"/>
              </font>
            </x14:dxf>
          </x14:cfRule>
          <xm:sqref>BB65:BB66</xm:sqref>
        </x14:conditionalFormatting>
        <x14:conditionalFormatting xmlns:xm="http://schemas.microsoft.com/office/excel/2006/main">
          <x14:cfRule type="expression" priority="221" id="{ECEE5E7A-9F67-4025-956D-475CD46C0237}">
            <xm:f>OR($BC$68&lt;Výpočty!$Z$33,$BD$68&lt;Výpočty!$AA$33)</xm:f>
            <x14:dxf>
              <font>
                <b/>
                <i val="0"/>
                <color rgb="FFFF0000"/>
              </font>
            </x14:dxf>
          </x14:cfRule>
          <xm:sqref>BB67:BB68</xm:sqref>
        </x14:conditionalFormatting>
        <x14:conditionalFormatting xmlns:xm="http://schemas.microsoft.com/office/excel/2006/main">
          <x14:cfRule type="expression" priority="220" id="{9B5BD70A-9621-47E1-9A35-4EA0D550F88A}">
            <xm:f>OR($BC$69&gt;Výpočty!$Z$34,$BD$69&gt;Výpočty!$AA$34)</xm:f>
            <x14:dxf>
              <font>
                <b/>
                <i val="0"/>
                <color rgb="FFFF0000"/>
              </font>
            </x14:dxf>
          </x14:cfRule>
          <xm:sqref>BB69</xm:sqref>
        </x14:conditionalFormatting>
        <x14:conditionalFormatting xmlns:xm="http://schemas.microsoft.com/office/excel/2006/main">
          <x14:cfRule type="expression" priority="219" id="{F014DCED-0129-45E2-AE46-F8931CD193F2}">
            <xm:f>OR($BH$63&gt;Výpočty!$AB$31,$BI$63&gt;Výpočty!$AC$31)</xm:f>
            <x14:dxf>
              <font>
                <b/>
                <i val="0"/>
                <color rgb="FFFF0000"/>
              </font>
            </x14:dxf>
          </x14:cfRule>
          <xm:sqref>BG63</xm:sqref>
        </x14:conditionalFormatting>
        <x14:conditionalFormatting xmlns:xm="http://schemas.microsoft.com/office/excel/2006/main">
          <x14:cfRule type="expression" priority="218" id="{15C2D615-E82B-4F35-9D7A-414C61975343}">
            <xm:f>OR($BH$66&gt;Výpočty!$AB$32,$BI$66&gt;Výpočty!$AC$32)</xm:f>
            <x14:dxf>
              <font>
                <b/>
                <i val="0"/>
                <color rgb="FFFF0000"/>
              </font>
            </x14:dxf>
          </x14:cfRule>
          <xm:sqref>BG65:BG66</xm:sqref>
        </x14:conditionalFormatting>
        <x14:conditionalFormatting xmlns:xm="http://schemas.microsoft.com/office/excel/2006/main">
          <x14:cfRule type="expression" priority="217" id="{31A5D546-3ED2-406E-9D27-83B7E3E60140}">
            <xm:f>OR($BH$68&lt;Výpočty!$AB$33,$BI$68&lt;Výpočty!$AC$33)</xm:f>
            <x14:dxf>
              <font>
                <b/>
                <i val="0"/>
                <color rgb="FFFF0000"/>
              </font>
            </x14:dxf>
          </x14:cfRule>
          <xm:sqref>BG67:BG68</xm:sqref>
        </x14:conditionalFormatting>
        <x14:conditionalFormatting xmlns:xm="http://schemas.microsoft.com/office/excel/2006/main">
          <x14:cfRule type="expression" priority="216" id="{DDA81A13-EB50-4D23-8FF3-054302982977}">
            <xm:f>OR($BH$69&gt;Výpočty!$AB$34,$BI$69&gt;Výpočty!$AC$34)</xm:f>
            <x14:dxf>
              <font>
                <b/>
                <i val="0"/>
                <color rgb="FFFF0000"/>
              </font>
            </x14:dxf>
          </x14:cfRule>
          <xm:sqref>BG69</xm:sqref>
        </x14:conditionalFormatting>
        <x14:conditionalFormatting xmlns:xm="http://schemas.microsoft.com/office/excel/2006/main">
          <x14:cfRule type="expression" priority="215" id="{EC262879-A101-4B9D-AEA6-BDACA5E122E2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213" id="{2E87A651-514D-4B08-A27A-F58ED295637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212" id="{63CD9F22-E5AE-459D-9CC5-689E88B89CB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E34</xm:sqref>
        </x14:conditionalFormatting>
        <x14:conditionalFormatting xmlns:xm="http://schemas.microsoft.com/office/excel/2006/main">
          <x14:cfRule type="expression" priority="210" id="{01413115-9111-40B6-896D-A1D04FF5F8AE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E63</xm:sqref>
        </x14:conditionalFormatting>
        <x14:conditionalFormatting xmlns:xm="http://schemas.microsoft.com/office/excel/2006/main">
          <x14:cfRule type="expression" priority="209" id="{A6597051-7754-4D16-9B4A-A795F541E425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expression" priority="206" id="{B679A485-5E5A-41BC-BE44-316650D742B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E66</xm:sqref>
        </x14:conditionalFormatting>
        <x14:conditionalFormatting xmlns:xm="http://schemas.microsoft.com/office/excel/2006/main">
          <x14:cfRule type="expression" priority="205" id="{7025B24B-0513-4329-A83F-F129EE6D193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F66</xm:sqref>
        </x14:conditionalFormatting>
        <x14:conditionalFormatting xmlns:xm="http://schemas.microsoft.com/office/excel/2006/main">
          <x14:cfRule type="expression" priority="204" id="{B6327C5A-8DEE-4DD1-ACB2-C6EC83E3F237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E68</xm:sqref>
        </x14:conditionalFormatting>
        <x14:conditionalFormatting xmlns:xm="http://schemas.microsoft.com/office/excel/2006/main">
          <x14:cfRule type="expression" priority="203" id="{673C4FCD-417E-484B-B97D-B698AF4D274D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F68</xm:sqref>
        </x14:conditionalFormatting>
        <x14:conditionalFormatting xmlns:xm="http://schemas.microsoft.com/office/excel/2006/main">
          <x14:cfRule type="expression" priority="202" id="{9AD9A8C9-59E7-4437-98A4-9F083B43A02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E69</xm:sqref>
        </x14:conditionalFormatting>
        <x14:conditionalFormatting xmlns:xm="http://schemas.microsoft.com/office/excel/2006/main">
          <x14:cfRule type="expression" priority="201" id="{E451B162-4C0B-4941-9FEC-6B7750CFE1D5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F69</xm:sqref>
        </x14:conditionalFormatting>
        <x14:conditionalFormatting xmlns:xm="http://schemas.microsoft.com/office/excel/2006/main">
          <x14:cfRule type="expression" priority="200" id="{B567AE5F-F788-44DE-B5E2-3F3C58025D5D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O23:O24 P24</xm:sqref>
        </x14:conditionalFormatting>
        <x14:conditionalFormatting xmlns:xm="http://schemas.microsoft.com/office/excel/2006/main">
          <x14:cfRule type="expression" priority="199" id="{E2BB6660-5208-4CD4-8A94-C1EFAC170DE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P34</xm:sqref>
        </x14:conditionalFormatting>
        <x14:conditionalFormatting xmlns:xm="http://schemas.microsoft.com/office/excel/2006/main">
          <x14:cfRule type="expression" priority="197" id="{AB08CB22-B02A-4597-A6A1-BE5350DBF6BA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expression" priority="195" id="{031DBF3A-7BE5-4DFA-858D-CB268637C2C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P39</xm:sqref>
        </x14:conditionalFormatting>
        <x14:conditionalFormatting xmlns:xm="http://schemas.microsoft.com/office/excel/2006/main">
          <x14:cfRule type="expression" priority="194" id="{7B6F68C9-7639-4E66-B34D-15E1BF736C7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P49:P54</xm:sqref>
        </x14:conditionalFormatting>
        <x14:conditionalFormatting xmlns:xm="http://schemas.microsoft.com/office/excel/2006/main">
          <x14:cfRule type="expression" priority="193" id="{E356943E-0B57-4C79-83A3-D168B93CA71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O47:O48</xm:sqref>
        </x14:conditionalFormatting>
        <x14:conditionalFormatting xmlns:xm="http://schemas.microsoft.com/office/excel/2006/main">
          <x14:cfRule type="expression" priority="192" id="{EC71278F-9CD0-42E0-81CD-942A03202BDA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O53:O54</xm:sqref>
        </x14:conditionalFormatting>
        <x14:conditionalFormatting xmlns:xm="http://schemas.microsoft.com/office/excel/2006/main">
          <x14:cfRule type="expression" priority="191" id="{9A68ABE9-882E-4C75-9425-48F44A9BDE32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T23:T24</xm:sqref>
        </x14:conditionalFormatting>
        <x14:conditionalFormatting xmlns:xm="http://schemas.microsoft.com/office/excel/2006/main">
          <x14:cfRule type="expression" priority="190" id="{81E660C6-09A4-4C24-A05F-9CEBDA5D1BB0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T34</xm:sqref>
        </x14:conditionalFormatting>
        <x14:conditionalFormatting xmlns:xm="http://schemas.microsoft.com/office/excel/2006/main">
          <x14:cfRule type="expression" priority="189" id="{64F6B7DE-C59D-4C81-872D-C1A90D9C36ED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U34</xm:sqref>
        </x14:conditionalFormatting>
        <x14:conditionalFormatting xmlns:xm="http://schemas.microsoft.com/office/excel/2006/main">
          <x14:cfRule type="expression" priority="188" id="{1B097F83-BA4A-42C5-BB02-8353DB146CED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expression" priority="187" id="{1AA2606E-55CD-4275-99E7-7496CDC4A3E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U39</xm:sqref>
        </x14:conditionalFormatting>
        <x14:conditionalFormatting xmlns:xm="http://schemas.microsoft.com/office/excel/2006/main">
          <x14:cfRule type="expression" priority="186" id="{D7F3ADE9-A14E-4F9E-AED7-B301ADD13D47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T47</xm:sqref>
        </x14:conditionalFormatting>
        <x14:conditionalFormatting xmlns:xm="http://schemas.microsoft.com/office/excel/2006/main">
          <x14:cfRule type="expression" priority="185" id="{85A873E4-ED4D-465B-80AA-14084DB95A17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T48</xm:sqref>
        </x14:conditionalFormatting>
        <x14:conditionalFormatting xmlns:xm="http://schemas.microsoft.com/office/excel/2006/main">
          <x14:cfRule type="expression" priority="184" id="{98E31887-FAA8-4082-A71B-3BD844DFBA0C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U49:U54</xm:sqref>
        </x14:conditionalFormatting>
        <x14:conditionalFormatting xmlns:xm="http://schemas.microsoft.com/office/excel/2006/main">
          <x14:cfRule type="expression" priority="178" id="{24BB7357-728B-40C2-92D5-4ECC12777F48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T54</xm:sqref>
        </x14:conditionalFormatting>
        <x14:conditionalFormatting xmlns:xm="http://schemas.microsoft.com/office/excel/2006/main">
          <x14:cfRule type="expression" priority="177" id="{9CFA7C1E-5261-4867-9051-77214685B5A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T53</xm:sqref>
        </x14:conditionalFormatting>
        <x14:conditionalFormatting xmlns:xm="http://schemas.microsoft.com/office/excel/2006/main">
          <x14:cfRule type="expression" priority="176" id="{A0E045A4-2838-47CB-B124-ACB2C9A3756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O63:P63</xm:sqref>
        </x14:conditionalFormatting>
        <x14:conditionalFormatting xmlns:xm="http://schemas.microsoft.com/office/excel/2006/main">
          <x14:cfRule type="expression" priority="175" id="{B35FDFB9-637A-4BA9-BB50-5D498B19D95A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O66</xm:sqref>
        </x14:conditionalFormatting>
        <x14:conditionalFormatting xmlns:xm="http://schemas.microsoft.com/office/excel/2006/main">
          <x14:cfRule type="expression" priority="174" id="{053E6D20-50C0-4C90-B607-0F522A9C7E6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P66</xm:sqref>
        </x14:conditionalFormatting>
        <x14:conditionalFormatting xmlns:xm="http://schemas.microsoft.com/office/excel/2006/main">
          <x14:cfRule type="expression" priority="173" id="{9B1FDE42-2DDE-4F94-8E58-31F7215C394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72" id="{C9087E24-0A52-470E-BB24-027B425EAFF2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P68</xm:sqref>
        </x14:conditionalFormatting>
        <x14:conditionalFormatting xmlns:xm="http://schemas.microsoft.com/office/excel/2006/main">
          <x14:cfRule type="expression" priority="171" id="{A99CC406-703C-45E0-8A31-7A601622459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70" id="{A8CB2664-CA0F-4D0D-81A8-C4C4435CBC84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P69</xm:sqref>
        </x14:conditionalFormatting>
        <x14:conditionalFormatting xmlns:xm="http://schemas.microsoft.com/office/excel/2006/main">
          <x14:cfRule type="expression" priority="169" id="{F9259ADF-0339-454C-9DC5-6ABC9B0C39E7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T63:U63</xm:sqref>
        </x14:conditionalFormatting>
        <x14:conditionalFormatting xmlns:xm="http://schemas.microsoft.com/office/excel/2006/main">
          <x14:cfRule type="expression" priority="168" id="{188B57B6-8DE2-48A3-9D5B-098BA135E7C1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T66</xm:sqref>
        </x14:conditionalFormatting>
        <x14:conditionalFormatting xmlns:xm="http://schemas.microsoft.com/office/excel/2006/main">
          <x14:cfRule type="expression" priority="167" id="{16788F1B-290B-4756-8D1A-E3B3ED3D67F7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U66</xm:sqref>
        </x14:conditionalFormatting>
        <x14:conditionalFormatting xmlns:xm="http://schemas.microsoft.com/office/excel/2006/main">
          <x14:cfRule type="expression" priority="166" id="{17D70C18-F220-413A-B1F4-A6EB3FA786B0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T68</xm:sqref>
        </x14:conditionalFormatting>
        <x14:conditionalFormatting xmlns:xm="http://schemas.microsoft.com/office/excel/2006/main">
          <x14:cfRule type="expression" priority="165" id="{F3C875B8-DACA-44C1-92C9-DCB983CB09E0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U68</xm:sqref>
        </x14:conditionalFormatting>
        <x14:conditionalFormatting xmlns:xm="http://schemas.microsoft.com/office/excel/2006/main">
          <x14:cfRule type="expression" priority="164" id="{086D7201-4C3A-4D88-A320-F658915BB8F8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T69</xm:sqref>
        </x14:conditionalFormatting>
        <x14:conditionalFormatting xmlns:xm="http://schemas.microsoft.com/office/excel/2006/main">
          <x14:cfRule type="expression" priority="163" id="{99CA10E7-D265-4E53-AC6E-CB997FC51BB2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U69</xm:sqref>
        </x14:conditionalFormatting>
        <x14:conditionalFormatting xmlns:xm="http://schemas.microsoft.com/office/excel/2006/main">
          <x14:cfRule type="expression" priority="162" id="{0BC1F2C9-7FD0-4A72-BF79-4D2991423188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Y63:Z63</xm:sqref>
        </x14:conditionalFormatting>
        <x14:conditionalFormatting xmlns:xm="http://schemas.microsoft.com/office/excel/2006/main">
          <x14:cfRule type="expression" priority="161" id="{BCFBBCB7-9B0A-4FD9-893C-2F202C3AAD2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Y66</xm:sqref>
        </x14:conditionalFormatting>
        <x14:conditionalFormatting xmlns:xm="http://schemas.microsoft.com/office/excel/2006/main">
          <x14:cfRule type="expression" priority="160" id="{BE0ACDA1-DCD6-40E7-8508-BD8EB5D96B8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Z66</xm:sqref>
        </x14:conditionalFormatting>
        <x14:conditionalFormatting xmlns:xm="http://schemas.microsoft.com/office/excel/2006/main">
          <x14:cfRule type="expression" priority="159" id="{EDB597DB-1205-4FAE-AA4E-650FE21183AA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Y68</xm:sqref>
        </x14:conditionalFormatting>
        <x14:conditionalFormatting xmlns:xm="http://schemas.microsoft.com/office/excel/2006/main">
          <x14:cfRule type="expression" priority="158" id="{99D196BB-A01E-42E3-9F17-F9B3963305EC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Z68</xm:sqref>
        </x14:conditionalFormatting>
        <x14:conditionalFormatting xmlns:xm="http://schemas.microsoft.com/office/excel/2006/main">
          <x14:cfRule type="expression" priority="157" id="{4969CDE4-DFF4-4B15-9B15-8424867BAADC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Y69</xm:sqref>
        </x14:conditionalFormatting>
        <x14:conditionalFormatting xmlns:xm="http://schemas.microsoft.com/office/excel/2006/main">
          <x14:cfRule type="expression" priority="156" id="{0621AF1C-1015-440D-9834-EB5981DC104D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Z69</xm:sqref>
        </x14:conditionalFormatting>
        <x14:conditionalFormatting xmlns:xm="http://schemas.microsoft.com/office/excel/2006/main">
          <x14:cfRule type="expression" priority="155" id="{7206FA60-2C3F-4109-B9D3-FB7051FAECB1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AD63:AE63</xm:sqref>
        </x14:conditionalFormatting>
        <x14:conditionalFormatting xmlns:xm="http://schemas.microsoft.com/office/excel/2006/main">
          <x14:cfRule type="expression" priority="154" id="{6B158C05-B8D4-4FAB-9CF9-B0A202EB6F97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AD66</xm:sqref>
        </x14:conditionalFormatting>
        <x14:conditionalFormatting xmlns:xm="http://schemas.microsoft.com/office/excel/2006/main">
          <x14:cfRule type="expression" priority="153" id="{6A588545-91A0-43A6-B5BC-3BBEECCC935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AE66</xm:sqref>
        </x14:conditionalFormatting>
        <x14:conditionalFormatting xmlns:xm="http://schemas.microsoft.com/office/excel/2006/main">
          <x14:cfRule type="expression" priority="152" id="{B1284401-429C-42D6-B6A4-DE80B9D7B2C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AD68</xm:sqref>
        </x14:conditionalFormatting>
        <x14:conditionalFormatting xmlns:xm="http://schemas.microsoft.com/office/excel/2006/main">
          <x14:cfRule type="expression" priority="151" id="{3A04397B-758E-4E8A-931F-4C5B4C30311C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AE68</xm:sqref>
        </x14:conditionalFormatting>
        <x14:conditionalFormatting xmlns:xm="http://schemas.microsoft.com/office/excel/2006/main">
          <x14:cfRule type="expression" priority="150" id="{FF9E6DA6-916A-482C-948F-A1DBE71F65F5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AD69</xm:sqref>
        </x14:conditionalFormatting>
        <x14:conditionalFormatting xmlns:xm="http://schemas.microsoft.com/office/excel/2006/main">
          <x14:cfRule type="expression" priority="149" id="{611005F6-F385-4853-87C1-2D12A4AA259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AE69</xm:sqref>
        </x14:conditionalFormatting>
        <x14:conditionalFormatting xmlns:xm="http://schemas.microsoft.com/office/excel/2006/main">
          <x14:cfRule type="expression" priority="148" id="{A67B45A5-4086-48A3-9C77-CC9D276AB41E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AJ66</xm:sqref>
        </x14:conditionalFormatting>
        <x14:conditionalFormatting xmlns:xm="http://schemas.microsoft.com/office/excel/2006/main">
          <x14:cfRule type="expression" priority="147" id="{1B28AB60-1E27-4482-BA20-17601CD7198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AJ68</xm:sqref>
        </x14:conditionalFormatting>
        <x14:conditionalFormatting xmlns:xm="http://schemas.microsoft.com/office/excel/2006/main">
          <x14:cfRule type="expression" priority="146" id="{D2F636C4-0DAE-42A2-8991-13625115323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AJ69</xm:sqref>
        </x14:conditionalFormatting>
        <x14:conditionalFormatting xmlns:xm="http://schemas.microsoft.com/office/excel/2006/main">
          <x14:cfRule type="expression" priority="143" id="{1ECEE45E-A8D6-4413-92EC-A007C62E24F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AN63:AO63</xm:sqref>
        </x14:conditionalFormatting>
        <x14:conditionalFormatting xmlns:xm="http://schemas.microsoft.com/office/excel/2006/main">
          <x14:cfRule type="expression" priority="142" id="{B13C41F5-802F-40E0-AE35-43F7CBE5A1FA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AN63:AO63</xm:sqref>
        </x14:conditionalFormatting>
        <x14:conditionalFormatting xmlns:xm="http://schemas.microsoft.com/office/excel/2006/main">
          <x14:cfRule type="expression" priority="141" id="{7A959AAF-0CB6-4F55-8465-DDC55952B50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AN66</xm:sqref>
        </x14:conditionalFormatting>
        <x14:conditionalFormatting xmlns:xm="http://schemas.microsoft.com/office/excel/2006/main">
          <x14:cfRule type="expression" priority="140" id="{4371795F-B7E6-4644-A1CA-2A54586ACB4B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AN66</xm:sqref>
        </x14:conditionalFormatting>
        <x14:conditionalFormatting xmlns:xm="http://schemas.microsoft.com/office/excel/2006/main">
          <x14:cfRule type="expression" priority="139" id="{DD1A1CED-35B2-4419-80C7-5B22B88448B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AO66</xm:sqref>
        </x14:conditionalFormatting>
        <x14:conditionalFormatting xmlns:xm="http://schemas.microsoft.com/office/excel/2006/main">
          <x14:cfRule type="expression" priority="138" id="{5C5AEF0C-74E6-4C69-A13F-A345B74AC502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AO66</xm:sqref>
        </x14:conditionalFormatting>
        <x14:conditionalFormatting xmlns:xm="http://schemas.microsoft.com/office/excel/2006/main">
          <x14:cfRule type="expression" priority="137" id="{D111D78E-93AB-4AD1-BC2A-E6853ED550C7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AN68</xm:sqref>
        </x14:conditionalFormatting>
        <x14:conditionalFormatting xmlns:xm="http://schemas.microsoft.com/office/excel/2006/main">
          <x14:cfRule type="expression" priority="136" id="{9B21A9D6-4D94-4F17-A914-1A4CAD7DA767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AN68</xm:sqref>
        </x14:conditionalFormatting>
        <x14:conditionalFormatting xmlns:xm="http://schemas.microsoft.com/office/excel/2006/main">
          <x14:cfRule type="expression" priority="135" id="{FB2D4066-153E-4698-B991-3EE9C9698E3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AO68</xm:sqref>
        </x14:conditionalFormatting>
        <x14:conditionalFormatting xmlns:xm="http://schemas.microsoft.com/office/excel/2006/main">
          <x14:cfRule type="expression" priority="134" id="{F761091D-CC6C-410E-89D4-CBC85D95A574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AO68</xm:sqref>
        </x14:conditionalFormatting>
        <x14:conditionalFormatting xmlns:xm="http://schemas.microsoft.com/office/excel/2006/main">
          <x14:cfRule type="expression" priority="133" id="{72920454-E123-4F91-B9BF-8735D04347D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AN69</xm:sqref>
        </x14:conditionalFormatting>
        <x14:conditionalFormatting xmlns:xm="http://schemas.microsoft.com/office/excel/2006/main">
          <x14:cfRule type="expression" priority="132" id="{C790221E-86B3-43A7-A307-4246C61D87FE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AN69</xm:sqref>
        </x14:conditionalFormatting>
        <x14:conditionalFormatting xmlns:xm="http://schemas.microsoft.com/office/excel/2006/main">
          <x14:cfRule type="expression" priority="131" id="{65901CB6-6D27-47A2-ABA0-49862886A7C1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AO69</xm:sqref>
        </x14:conditionalFormatting>
        <x14:conditionalFormatting xmlns:xm="http://schemas.microsoft.com/office/excel/2006/main">
          <x14:cfRule type="expression" priority="130" id="{672A3B81-FA01-46C1-8F48-FBE9A79D011D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AO69</xm:sqref>
        </x14:conditionalFormatting>
        <x14:conditionalFormatting xmlns:xm="http://schemas.microsoft.com/office/excel/2006/main">
          <x14:cfRule type="expression" priority="129" id="{221B4A8B-CBA4-4D99-91B9-E12E3E143AA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AS63:AT63</xm:sqref>
        </x14:conditionalFormatting>
        <x14:conditionalFormatting xmlns:xm="http://schemas.microsoft.com/office/excel/2006/main">
          <x14:cfRule type="expression" priority="128" id="{205F6A28-22CA-4556-9C7C-CC8C8C502DD9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AS63:AT63</xm:sqref>
        </x14:conditionalFormatting>
        <x14:conditionalFormatting xmlns:xm="http://schemas.microsoft.com/office/excel/2006/main">
          <x14:cfRule type="expression" priority="127" id="{57C55AC5-13F5-4F8D-A684-86F6D509720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AS66</xm:sqref>
        </x14:conditionalFormatting>
        <x14:conditionalFormatting xmlns:xm="http://schemas.microsoft.com/office/excel/2006/main">
          <x14:cfRule type="expression" priority="126" id="{EFA889C2-9CC0-4ED0-A2D0-980060FE24E6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AS66</xm:sqref>
        </x14:conditionalFormatting>
        <x14:conditionalFormatting xmlns:xm="http://schemas.microsoft.com/office/excel/2006/main">
          <x14:cfRule type="expression" priority="125" id="{91729537-D451-4484-9B46-8ADA0D7154D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AT66</xm:sqref>
        </x14:conditionalFormatting>
        <x14:conditionalFormatting xmlns:xm="http://schemas.microsoft.com/office/excel/2006/main">
          <x14:cfRule type="expression" priority="124" id="{0DC50E06-7B55-4BFF-BD69-B96797859C53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AT66</xm:sqref>
        </x14:conditionalFormatting>
        <x14:conditionalFormatting xmlns:xm="http://schemas.microsoft.com/office/excel/2006/main">
          <x14:cfRule type="expression" priority="123" id="{400FBBA4-B4AF-4ECD-B771-33CEE0AAEA1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AS68</xm:sqref>
        </x14:conditionalFormatting>
        <x14:conditionalFormatting xmlns:xm="http://schemas.microsoft.com/office/excel/2006/main">
          <x14:cfRule type="expression" priority="122" id="{A357DE4A-CADB-4DDE-9150-AF6145401D8F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AS68</xm:sqref>
        </x14:conditionalFormatting>
        <x14:conditionalFormatting xmlns:xm="http://schemas.microsoft.com/office/excel/2006/main">
          <x14:cfRule type="expression" priority="121" id="{F913F51D-A48F-4D81-B920-AF985781579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AT68</xm:sqref>
        </x14:conditionalFormatting>
        <x14:conditionalFormatting xmlns:xm="http://schemas.microsoft.com/office/excel/2006/main">
          <x14:cfRule type="expression" priority="120" id="{508C38CE-C7AD-45B2-BE4A-A96D9AE9D760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AT68</xm:sqref>
        </x14:conditionalFormatting>
        <x14:conditionalFormatting xmlns:xm="http://schemas.microsoft.com/office/excel/2006/main">
          <x14:cfRule type="expression" priority="119" id="{719908C6-57F3-43B9-B748-AC25519E7E3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AS69</xm:sqref>
        </x14:conditionalFormatting>
        <x14:conditionalFormatting xmlns:xm="http://schemas.microsoft.com/office/excel/2006/main">
          <x14:cfRule type="expression" priority="118" id="{36EC2E52-08D4-4471-BABA-4CB08F733597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AS69</xm:sqref>
        </x14:conditionalFormatting>
        <x14:conditionalFormatting xmlns:xm="http://schemas.microsoft.com/office/excel/2006/main">
          <x14:cfRule type="expression" priority="117" id="{DD33AD31-58EA-4179-9216-1747BA77F652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AT69</xm:sqref>
        </x14:conditionalFormatting>
        <x14:conditionalFormatting xmlns:xm="http://schemas.microsoft.com/office/excel/2006/main">
          <x14:cfRule type="expression" priority="116" id="{FEB5FFCF-5F23-4708-BCD5-99CAC82ED1AE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AT69</xm:sqref>
        </x14:conditionalFormatting>
        <x14:conditionalFormatting xmlns:xm="http://schemas.microsoft.com/office/excel/2006/main">
          <x14:cfRule type="expression" priority="115" id="{15AB53FC-E1E6-4523-B080-6622C1971DD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AX63:AY63</xm:sqref>
        </x14:conditionalFormatting>
        <x14:conditionalFormatting xmlns:xm="http://schemas.microsoft.com/office/excel/2006/main">
          <x14:cfRule type="expression" priority="114" id="{61732F73-CCEE-4C8E-9299-4C32437C8D01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AX63:AY63</xm:sqref>
        </x14:conditionalFormatting>
        <x14:conditionalFormatting xmlns:xm="http://schemas.microsoft.com/office/excel/2006/main">
          <x14:cfRule type="expression" priority="113" id="{7A550991-60D6-4C18-B909-A780CBCB5DD5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AX66</xm:sqref>
        </x14:conditionalFormatting>
        <x14:conditionalFormatting xmlns:xm="http://schemas.microsoft.com/office/excel/2006/main">
          <x14:cfRule type="expression" priority="112" id="{FC96D1CF-587B-46EE-A7BE-5D543B7BAAC2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AX66</xm:sqref>
        </x14:conditionalFormatting>
        <x14:conditionalFormatting xmlns:xm="http://schemas.microsoft.com/office/excel/2006/main">
          <x14:cfRule type="expression" priority="111" id="{616BAC29-7FCB-4F0E-8732-26C7E58E5D2A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AY66</xm:sqref>
        </x14:conditionalFormatting>
        <x14:conditionalFormatting xmlns:xm="http://schemas.microsoft.com/office/excel/2006/main">
          <x14:cfRule type="expression" priority="110" id="{DA0EC790-89D8-4184-968E-60215B2621DE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AY66</xm:sqref>
        </x14:conditionalFormatting>
        <x14:conditionalFormatting xmlns:xm="http://schemas.microsoft.com/office/excel/2006/main">
          <x14:cfRule type="expression" priority="109" id="{A88CE68A-6EF0-4E30-B6B5-CD90A1B3C52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AX68</xm:sqref>
        </x14:conditionalFormatting>
        <x14:conditionalFormatting xmlns:xm="http://schemas.microsoft.com/office/excel/2006/main">
          <x14:cfRule type="expression" priority="108" id="{DC75124F-A043-455E-94BB-BEE62D9E1C5A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AX68</xm:sqref>
        </x14:conditionalFormatting>
        <x14:conditionalFormatting xmlns:xm="http://schemas.microsoft.com/office/excel/2006/main">
          <x14:cfRule type="expression" priority="107" id="{023DB7DD-1851-4050-8D2D-BC5CB102E6C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AY68</xm:sqref>
        </x14:conditionalFormatting>
        <x14:conditionalFormatting xmlns:xm="http://schemas.microsoft.com/office/excel/2006/main">
          <x14:cfRule type="expression" priority="106" id="{0AF125B0-E005-4AB9-BAAB-B2143632BD03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AY68</xm:sqref>
        </x14:conditionalFormatting>
        <x14:conditionalFormatting xmlns:xm="http://schemas.microsoft.com/office/excel/2006/main">
          <x14:cfRule type="expression" priority="105" id="{64298B51-7761-4E9F-A202-86DF0F62EB6E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AX69</xm:sqref>
        </x14:conditionalFormatting>
        <x14:conditionalFormatting xmlns:xm="http://schemas.microsoft.com/office/excel/2006/main">
          <x14:cfRule type="expression" priority="104" id="{10AAE65A-F048-4A2A-A3C9-EDC4C8E46609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AX69</xm:sqref>
        </x14:conditionalFormatting>
        <x14:conditionalFormatting xmlns:xm="http://schemas.microsoft.com/office/excel/2006/main">
          <x14:cfRule type="expression" priority="103" id="{F605BBBE-5210-48E8-B59B-BDE0F86889EE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AY69</xm:sqref>
        </x14:conditionalFormatting>
        <x14:conditionalFormatting xmlns:xm="http://schemas.microsoft.com/office/excel/2006/main">
          <x14:cfRule type="expression" priority="102" id="{294DA805-E33C-40E8-AFAA-4988D0834688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AY69</xm:sqref>
        </x14:conditionalFormatting>
        <x14:conditionalFormatting xmlns:xm="http://schemas.microsoft.com/office/excel/2006/main">
          <x14:cfRule type="expression" priority="101" id="{0FEED65C-C879-477B-9A29-5290C1AEC8C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BC63:BD63</xm:sqref>
        </x14:conditionalFormatting>
        <x14:conditionalFormatting xmlns:xm="http://schemas.microsoft.com/office/excel/2006/main">
          <x14:cfRule type="expression" priority="100" id="{328F6A83-7EB6-4CDD-B88B-4F04B410F4A4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BC63:BD63</xm:sqref>
        </x14:conditionalFormatting>
        <x14:conditionalFormatting xmlns:xm="http://schemas.microsoft.com/office/excel/2006/main">
          <x14:cfRule type="expression" priority="95" id="{4757C363-CCD4-428B-8622-8FAB545FA72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BC66</xm:sqref>
        </x14:conditionalFormatting>
        <x14:conditionalFormatting xmlns:xm="http://schemas.microsoft.com/office/excel/2006/main">
          <x14:cfRule type="expression" priority="94" id="{5F48C5DF-ED01-4F00-AFC8-015772034AA4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BC66</xm:sqref>
        </x14:conditionalFormatting>
        <x14:conditionalFormatting xmlns:xm="http://schemas.microsoft.com/office/excel/2006/main">
          <x14:cfRule type="expression" priority="93" id="{05DE502A-9904-4E9B-986F-D973BF56956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BD66</xm:sqref>
        </x14:conditionalFormatting>
        <x14:conditionalFormatting xmlns:xm="http://schemas.microsoft.com/office/excel/2006/main">
          <x14:cfRule type="expression" priority="92" id="{D62C53EB-DFB2-4461-ADB7-38730A868434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BD66</xm:sqref>
        </x14:conditionalFormatting>
        <x14:conditionalFormatting xmlns:xm="http://schemas.microsoft.com/office/excel/2006/main">
          <x14:cfRule type="expression" priority="91" id="{535E9C90-B17F-445F-9EC7-3D8DD8FAD21E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BC68</xm:sqref>
        </x14:conditionalFormatting>
        <x14:conditionalFormatting xmlns:xm="http://schemas.microsoft.com/office/excel/2006/main">
          <x14:cfRule type="expression" priority="90" id="{872AE21C-89AC-4908-B284-E5EBDEB06865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BC68</xm:sqref>
        </x14:conditionalFormatting>
        <x14:conditionalFormatting xmlns:xm="http://schemas.microsoft.com/office/excel/2006/main">
          <x14:cfRule type="expression" priority="89" id="{362E13EF-06EB-4EF7-A633-5330C3DDB81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BD68</xm:sqref>
        </x14:conditionalFormatting>
        <x14:conditionalFormatting xmlns:xm="http://schemas.microsoft.com/office/excel/2006/main">
          <x14:cfRule type="expression" priority="88" id="{9F8D5817-EE3E-4714-AB99-1BD1453DF952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BD68</xm:sqref>
        </x14:conditionalFormatting>
        <x14:conditionalFormatting xmlns:xm="http://schemas.microsoft.com/office/excel/2006/main">
          <x14:cfRule type="expression" priority="87" id="{87D132A2-F16B-456D-A1F5-418F1452B7B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BC69</xm:sqref>
        </x14:conditionalFormatting>
        <x14:conditionalFormatting xmlns:xm="http://schemas.microsoft.com/office/excel/2006/main">
          <x14:cfRule type="expression" priority="86" id="{F06CD237-285E-4B05-8724-08D76F73C5E3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BC69</xm:sqref>
        </x14:conditionalFormatting>
        <x14:conditionalFormatting xmlns:xm="http://schemas.microsoft.com/office/excel/2006/main">
          <x14:cfRule type="expression" priority="85" id="{61F35369-C71E-4ACF-940C-A46A45330C4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BD69</xm:sqref>
        </x14:conditionalFormatting>
        <x14:conditionalFormatting xmlns:xm="http://schemas.microsoft.com/office/excel/2006/main">
          <x14:cfRule type="expression" priority="84" id="{17909F9C-584A-4048-8FB4-353E1A72ADF2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BD69</xm:sqref>
        </x14:conditionalFormatting>
        <x14:conditionalFormatting xmlns:xm="http://schemas.microsoft.com/office/excel/2006/main">
          <x14:cfRule type="expression" priority="83" id="{135931B7-F252-4B0A-AE93-CD70C15775B0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BH63:BI63</xm:sqref>
        </x14:conditionalFormatting>
        <x14:conditionalFormatting xmlns:xm="http://schemas.microsoft.com/office/excel/2006/main">
          <x14:cfRule type="expression" priority="82" id="{63B3C1DB-AB64-4426-8981-DCD9F544F0C0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BH63:BI63</xm:sqref>
        </x14:conditionalFormatting>
        <x14:conditionalFormatting xmlns:xm="http://schemas.microsoft.com/office/excel/2006/main">
          <x14:cfRule type="expression" priority="81" id="{A9080679-4D64-40A3-A608-18A7D196A01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BH66</xm:sqref>
        </x14:conditionalFormatting>
        <x14:conditionalFormatting xmlns:xm="http://schemas.microsoft.com/office/excel/2006/main">
          <x14:cfRule type="expression" priority="80" id="{FF31BD66-9F3F-40A0-8925-859080952E5F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BH66</xm:sqref>
        </x14:conditionalFormatting>
        <x14:conditionalFormatting xmlns:xm="http://schemas.microsoft.com/office/excel/2006/main">
          <x14:cfRule type="expression" priority="77" id="{AC3248B2-5335-4A34-BD84-05C8BEF1B0E7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BI66</xm:sqref>
        </x14:conditionalFormatting>
        <x14:conditionalFormatting xmlns:xm="http://schemas.microsoft.com/office/excel/2006/main">
          <x14:cfRule type="expression" priority="76" id="{30E4C051-18FD-486D-9471-69EC3A983FBF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BI66</xm:sqref>
        </x14:conditionalFormatting>
        <x14:conditionalFormatting xmlns:xm="http://schemas.microsoft.com/office/excel/2006/main">
          <x14:cfRule type="expression" priority="75" id="{B17CD85C-EF96-4C14-916C-EC3EF53744F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BH68:BI69</xm:sqref>
        </x14:conditionalFormatting>
        <x14:conditionalFormatting xmlns:xm="http://schemas.microsoft.com/office/excel/2006/main">
          <x14:cfRule type="expression" priority="74" id="{7B0A1C8A-6DCE-4C2C-B28E-3761ED33F6E5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BH68:BI69</xm:sqref>
        </x14:conditionalFormatting>
        <x14:conditionalFormatting xmlns:xm="http://schemas.microsoft.com/office/excel/2006/main">
          <x14:cfRule type="expression" priority="72" id="{05FE8BA2-B0EC-4899-A6AD-22B77ADA73F5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Y23:Y24 Z24</xm:sqref>
        </x14:conditionalFormatting>
        <x14:conditionalFormatting xmlns:xm="http://schemas.microsoft.com/office/excel/2006/main">
          <x14:cfRule type="expression" priority="71" id="{336BE309-E297-4606-9741-FCC7030F512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Y34:Z34</xm:sqref>
        </x14:conditionalFormatting>
        <x14:conditionalFormatting xmlns:xm="http://schemas.microsoft.com/office/excel/2006/main">
          <x14:cfRule type="expression" priority="69" id="{15E9B22F-C3D6-42EA-AFA0-096D5E87A4F0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Z39</xm:sqref>
        </x14:conditionalFormatting>
        <x14:conditionalFormatting xmlns:xm="http://schemas.microsoft.com/office/excel/2006/main">
          <x14:cfRule type="expression" priority="68" id="{4E53574B-718D-4ECE-A59E-61475857495F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Y47</xm:sqref>
        </x14:conditionalFormatting>
        <x14:conditionalFormatting xmlns:xm="http://schemas.microsoft.com/office/excel/2006/main">
          <x14:cfRule type="expression" priority="67" id="{4B709B7E-7232-4B47-B877-187B53A87D9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Y48</xm:sqref>
        </x14:conditionalFormatting>
        <x14:conditionalFormatting xmlns:xm="http://schemas.microsoft.com/office/excel/2006/main">
          <x14:cfRule type="expression" priority="66" id="{44A881AA-8A13-494C-B9F3-2FB7B9609B61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Z49:Z54</xm:sqref>
        </x14:conditionalFormatting>
        <x14:conditionalFormatting xmlns:xm="http://schemas.microsoft.com/office/excel/2006/main">
          <x14:cfRule type="expression" priority="65" id="{1C3EBB53-ABF8-4385-99C6-F84A2F8D114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Y53:Y54</xm:sqref>
        </x14:conditionalFormatting>
        <x14:conditionalFormatting xmlns:xm="http://schemas.microsoft.com/office/excel/2006/main">
          <x14:cfRule type="expression" priority="64" id="{13CD09AD-AAC6-4E49-9510-BEC71F954827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AD23:AD24 AE24</xm:sqref>
        </x14:conditionalFormatting>
        <x14:conditionalFormatting xmlns:xm="http://schemas.microsoft.com/office/excel/2006/main">
          <x14:cfRule type="expression" priority="63" id="{76A20FF2-FCE2-4232-8E53-B42DA84AD75B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AD34:AE34</xm:sqref>
        </x14:conditionalFormatting>
        <x14:conditionalFormatting xmlns:xm="http://schemas.microsoft.com/office/excel/2006/main">
          <x14:cfRule type="expression" priority="62" id="{2D287205-A65F-470B-8DF1-85D1E20952BC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AE39</xm:sqref>
        </x14:conditionalFormatting>
        <x14:conditionalFormatting xmlns:xm="http://schemas.microsoft.com/office/excel/2006/main">
          <x14:cfRule type="expression" priority="61" id="{2A4B2B39-19D3-4B55-A87F-56ADE20550BF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AD47:AD48</xm:sqref>
        </x14:conditionalFormatting>
        <x14:conditionalFormatting xmlns:xm="http://schemas.microsoft.com/office/excel/2006/main">
          <x14:cfRule type="expression" priority="60" id="{16F52615-B49B-48BF-B970-BAAC59862D1C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AE49:AE54</xm:sqref>
        </x14:conditionalFormatting>
        <x14:conditionalFormatting xmlns:xm="http://schemas.microsoft.com/office/excel/2006/main">
          <x14:cfRule type="expression" priority="59" id="{6608D5D4-3C9B-4D80-B758-0EB30FC488E1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AD53:AD54</xm:sqref>
        </x14:conditionalFormatting>
        <x14:conditionalFormatting xmlns:xm="http://schemas.microsoft.com/office/excel/2006/main">
          <x14:cfRule type="expression" priority="58" id="{8B68E450-C800-4675-B750-968F3E59358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AJ39</xm:sqref>
        </x14:conditionalFormatting>
        <x14:conditionalFormatting xmlns:xm="http://schemas.microsoft.com/office/excel/2006/main">
          <x14:cfRule type="expression" priority="57" id="{03BDB0E7-9912-43D5-BDDA-064FC50E10B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AJ49:AJ54</xm:sqref>
        </x14:conditionalFormatting>
        <x14:conditionalFormatting xmlns:xm="http://schemas.microsoft.com/office/excel/2006/main">
          <x14:cfRule type="expression" priority="56" id="{5C38EAD6-2CD3-4926-9A11-5ED9D26A9DD5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AN23:AN24 AO24</xm:sqref>
        </x14:conditionalFormatting>
        <x14:conditionalFormatting xmlns:xm="http://schemas.microsoft.com/office/excel/2006/main">
          <x14:cfRule type="expression" priority="55" id="{2C2E1B16-E40B-4778-8B4C-448105EAED68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AN23:AN24 AO24</xm:sqref>
        </x14:conditionalFormatting>
        <x14:conditionalFormatting xmlns:xm="http://schemas.microsoft.com/office/excel/2006/main">
          <x14:cfRule type="expression" priority="54" id="{0945FA36-F184-4B16-9CF4-45F1E1E70DCA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AN34:AO34</xm:sqref>
        </x14:conditionalFormatting>
        <x14:conditionalFormatting xmlns:xm="http://schemas.microsoft.com/office/excel/2006/main">
          <x14:cfRule type="expression" priority="53" id="{E7082BCA-C8AB-4D7C-98FF-BA3345FCF72C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AN34:AO34</xm:sqref>
        </x14:conditionalFormatting>
        <x14:conditionalFormatting xmlns:xm="http://schemas.microsoft.com/office/excel/2006/main">
          <x14:cfRule type="expression" priority="52" id="{21CDA7F4-FBD4-41F7-8124-739176F536A8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AO39</xm:sqref>
        </x14:conditionalFormatting>
        <x14:conditionalFormatting xmlns:xm="http://schemas.microsoft.com/office/excel/2006/main">
          <x14:cfRule type="expression" priority="51" id="{FFCA81EC-652D-467E-BD0A-5EE0B736D38D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AO39</xm:sqref>
        </x14:conditionalFormatting>
        <x14:conditionalFormatting xmlns:xm="http://schemas.microsoft.com/office/excel/2006/main">
          <x14:cfRule type="expression" priority="50" id="{D8B400CA-68D0-4932-9477-030CA5BC692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AN47:AN48</xm:sqref>
        </x14:conditionalFormatting>
        <x14:conditionalFormatting xmlns:xm="http://schemas.microsoft.com/office/excel/2006/main">
          <x14:cfRule type="expression" priority="49" id="{50593395-D501-4645-887E-76678EF87E99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AN47:AN48</xm:sqref>
        </x14:conditionalFormatting>
        <x14:conditionalFormatting xmlns:xm="http://schemas.microsoft.com/office/excel/2006/main">
          <x14:cfRule type="expression" priority="48" id="{E0B2DB59-9635-41D9-86E8-D4D8E9D08A71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AO49:AO54</xm:sqref>
        </x14:conditionalFormatting>
        <x14:conditionalFormatting xmlns:xm="http://schemas.microsoft.com/office/excel/2006/main">
          <x14:cfRule type="expression" priority="47" id="{21607237-5BE4-40E4-BB6E-9AA0FC41E240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AO49:AO54</xm:sqref>
        </x14:conditionalFormatting>
        <x14:conditionalFormatting xmlns:xm="http://schemas.microsoft.com/office/excel/2006/main">
          <x14:cfRule type="expression" priority="46" id="{ACF9C1D6-FE22-42AD-9908-A30562B66A7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AN53:AN54</xm:sqref>
        </x14:conditionalFormatting>
        <x14:conditionalFormatting xmlns:xm="http://schemas.microsoft.com/office/excel/2006/main">
          <x14:cfRule type="expression" priority="45" id="{B8B9E7B3-511A-4C98-B423-30ADB773B04F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AN53:AN54</xm:sqref>
        </x14:conditionalFormatting>
        <x14:conditionalFormatting xmlns:xm="http://schemas.microsoft.com/office/excel/2006/main">
          <x14:cfRule type="expression" priority="44" id="{80098CFC-251B-4475-919C-E2EE8192121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AS23:AS24 AT24</xm:sqref>
        </x14:conditionalFormatting>
        <x14:conditionalFormatting xmlns:xm="http://schemas.microsoft.com/office/excel/2006/main">
          <x14:cfRule type="expression" priority="43" id="{AD429038-DE45-4576-BA4C-B583B60E8553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AS23:AS24 AT24</xm:sqref>
        </x14:conditionalFormatting>
        <x14:conditionalFormatting xmlns:xm="http://schemas.microsoft.com/office/excel/2006/main">
          <x14:cfRule type="expression" priority="42" id="{831F051C-8038-4B76-A6BD-EA993B49EBF1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AS34:AT34</xm:sqref>
        </x14:conditionalFormatting>
        <x14:conditionalFormatting xmlns:xm="http://schemas.microsoft.com/office/excel/2006/main">
          <x14:cfRule type="expression" priority="41" id="{28D364B5-0943-45C8-B09A-7B86758B3FEF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AS34:AT34</xm:sqref>
        </x14:conditionalFormatting>
        <x14:conditionalFormatting xmlns:xm="http://schemas.microsoft.com/office/excel/2006/main">
          <x14:cfRule type="expression" priority="40" id="{D3A2EA7F-B409-4346-B799-3A8198357D9E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AT39</xm:sqref>
        </x14:conditionalFormatting>
        <x14:conditionalFormatting xmlns:xm="http://schemas.microsoft.com/office/excel/2006/main">
          <x14:cfRule type="expression" priority="39" id="{ED20ED75-3BEB-40EE-9A69-28D07B8D5CE0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AT39</xm:sqref>
        </x14:conditionalFormatting>
        <x14:conditionalFormatting xmlns:xm="http://schemas.microsoft.com/office/excel/2006/main">
          <x14:cfRule type="expression" priority="38" id="{44C32E64-356E-4DF5-856A-3555ADC7BD8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AS47</xm:sqref>
        </x14:conditionalFormatting>
        <x14:conditionalFormatting xmlns:xm="http://schemas.microsoft.com/office/excel/2006/main">
          <x14:cfRule type="expression" priority="37" id="{4F5994D6-463B-40A8-9E3A-DE2D3460668D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AS47</xm:sqref>
        </x14:conditionalFormatting>
        <x14:conditionalFormatting xmlns:xm="http://schemas.microsoft.com/office/excel/2006/main">
          <x14:cfRule type="expression" priority="36" id="{B9045374-2540-452B-BB1D-92F7913A490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AS48</xm:sqref>
        </x14:conditionalFormatting>
        <x14:conditionalFormatting xmlns:xm="http://schemas.microsoft.com/office/excel/2006/main">
          <x14:cfRule type="expression" priority="35" id="{B874ABB2-E325-416A-A241-A7D98584C9D8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AS48</xm:sqref>
        </x14:conditionalFormatting>
        <x14:conditionalFormatting xmlns:xm="http://schemas.microsoft.com/office/excel/2006/main">
          <x14:cfRule type="expression" priority="34" id="{D4895E11-AB41-4C99-BAA5-824ABD48D60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AS53:AS54 AT49:AT54</xm:sqref>
        </x14:conditionalFormatting>
        <x14:conditionalFormatting xmlns:xm="http://schemas.microsoft.com/office/excel/2006/main">
          <x14:cfRule type="expression" priority="33" id="{D02494E8-7C60-4203-B639-FC51DCB226F2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AS53:AS54 AT49:AT54</xm:sqref>
        </x14:conditionalFormatting>
        <x14:conditionalFormatting xmlns:xm="http://schemas.microsoft.com/office/excel/2006/main">
          <x14:cfRule type="expression" priority="30" id="{05C977B7-E1D4-4270-B899-0EB678F5930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AX23:AX24 AY24</xm:sqref>
        </x14:conditionalFormatting>
        <x14:conditionalFormatting xmlns:xm="http://schemas.microsoft.com/office/excel/2006/main">
          <x14:cfRule type="expression" priority="29" id="{CE4CB03F-7B17-4FEB-93F9-A3A1E54EEC66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AX23:AX24 AY24</xm:sqref>
        </x14:conditionalFormatting>
        <x14:conditionalFormatting xmlns:xm="http://schemas.microsoft.com/office/excel/2006/main">
          <x14:cfRule type="expression" priority="28" id="{38250800-5FD7-4165-8D97-08E71DB210B0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AX34:AY34</xm:sqref>
        </x14:conditionalFormatting>
        <x14:conditionalFormatting xmlns:xm="http://schemas.microsoft.com/office/excel/2006/main">
          <x14:cfRule type="expression" priority="27" id="{7635055D-ED7A-4F6F-B52D-6FEE1ACF17D1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AX34:AY34</xm:sqref>
        </x14:conditionalFormatting>
        <x14:conditionalFormatting xmlns:xm="http://schemas.microsoft.com/office/excel/2006/main">
          <x14:cfRule type="expression" priority="26" id="{95B88484-C095-462A-9197-526B2FFC83D8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AY39</xm:sqref>
        </x14:conditionalFormatting>
        <x14:conditionalFormatting xmlns:xm="http://schemas.microsoft.com/office/excel/2006/main">
          <x14:cfRule type="expression" priority="25" id="{DF84FF1C-225B-4DAF-928A-0D7B016A8696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AY39</xm:sqref>
        </x14:conditionalFormatting>
        <x14:conditionalFormatting xmlns:xm="http://schemas.microsoft.com/office/excel/2006/main">
          <x14:cfRule type="expression" priority="24" id="{00CAEB7F-C888-4BC2-96B1-4505113043E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AX47:AX48</xm:sqref>
        </x14:conditionalFormatting>
        <x14:conditionalFormatting xmlns:xm="http://schemas.microsoft.com/office/excel/2006/main">
          <x14:cfRule type="expression" priority="23" id="{4E2A6225-64B4-4C3C-8BAD-FF107390BC8B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AX47:AX48</xm:sqref>
        </x14:conditionalFormatting>
        <x14:conditionalFormatting xmlns:xm="http://schemas.microsoft.com/office/excel/2006/main">
          <x14:cfRule type="expression" priority="22" id="{CA843196-EFAF-42E4-8300-C6C5E128600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AX53:AX54 AY49:AY54</xm:sqref>
        </x14:conditionalFormatting>
        <x14:conditionalFormatting xmlns:xm="http://schemas.microsoft.com/office/excel/2006/main">
          <x14:cfRule type="expression" priority="21" id="{75853207-9F50-4B14-B075-4C051C785629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AX53:AX54 AY49:AY54</xm:sqref>
        </x14:conditionalFormatting>
        <x14:conditionalFormatting xmlns:xm="http://schemas.microsoft.com/office/excel/2006/main">
          <x14:cfRule type="expression" priority="20" id="{45B21279-BAF1-4E38-A414-975348E2F075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BC23:BC24 BD24</xm:sqref>
        </x14:conditionalFormatting>
        <x14:conditionalFormatting xmlns:xm="http://schemas.microsoft.com/office/excel/2006/main">
          <x14:cfRule type="expression" priority="19" id="{7938FEC7-DE57-434E-90D3-754644A4A27B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BC23:BC24 BD24</xm:sqref>
        </x14:conditionalFormatting>
        <x14:conditionalFormatting xmlns:xm="http://schemas.microsoft.com/office/excel/2006/main">
          <x14:cfRule type="expression" priority="18" id="{42CFC6B9-7CCF-4D2B-AEF2-5DD19373F26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BC34:BD34</xm:sqref>
        </x14:conditionalFormatting>
        <x14:conditionalFormatting xmlns:xm="http://schemas.microsoft.com/office/excel/2006/main">
          <x14:cfRule type="expression" priority="17" id="{3199409C-4EBB-427F-AD79-E1169CF4D340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BC34:BD34</xm:sqref>
        </x14:conditionalFormatting>
        <x14:conditionalFormatting xmlns:xm="http://schemas.microsoft.com/office/excel/2006/main">
          <x14:cfRule type="expression" priority="16" id="{5413B37F-9F14-4F68-8A66-152940B677A8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BD39</xm:sqref>
        </x14:conditionalFormatting>
        <x14:conditionalFormatting xmlns:xm="http://schemas.microsoft.com/office/excel/2006/main">
          <x14:cfRule type="expression" priority="15" id="{2B65E878-F932-4CCC-BEFC-B20518E23865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BD39</xm:sqref>
        </x14:conditionalFormatting>
        <x14:conditionalFormatting xmlns:xm="http://schemas.microsoft.com/office/excel/2006/main">
          <x14:cfRule type="expression" priority="14" id="{F4B907EF-DB3D-48A9-B3F1-482D81A90A5E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BC47:BC48</xm:sqref>
        </x14:conditionalFormatting>
        <x14:conditionalFormatting xmlns:xm="http://schemas.microsoft.com/office/excel/2006/main">
          <x14:cfRule type="expression" priority="13" id="{A1661F68-37DB-478E-AA50-623091AAF1FF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BC47:BC48</xm:sqref>
        </x14:conditionalFormatting>
        <x14:conditionalFormatting xmlns:xm="http://schemas.microsoft.com/office/excel/2006/main">
          <x14:cfRule type="expression" priority="12" id="{64800F41-767B-4236-BB5B-2CFA95299CF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BC53:BC54 BD49:BD54</xm:sqref>
        </x14:conditionalFormatting>
        <x14:conditionalFormatting xmlns:xm="http://schemas.microsoft.com/office/excel/2006/main">
          <x14:cfRule type="expression" priority="11" id="{36E9A25A-DEA0-44EB-AA03-FF68E1D6C0D2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BC53:BC54 BD49:BD54</xm:sqref>
        </x14:conditionalFormatting>
        <x14:conditionalFormatting xmlns:xm="http://schemas.microsoft.com/office/excel/2006/main">
          <x14:cfRule type="expression" priority="10" id="{D4743DC0-26F7-4C4F-8008-AE5416BA299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BH23:BH24 BI24</xm:sqref>
        </x14:conditionalFormatting>
        <x14:conditionalFormatting xmlns:xm="http://schemas.microsoft.com/office/excel/2006/main">
          <x14:cfRule type="expression" priority="9" id="{371539EB-3EE5-4B95-8AE2-9B32DA98B92F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BH23:BH24 BI24</xm:sqref>
        </x14:conditionalFormatting>
        <x14:conditionalFormatting xmlns:xm="http://schemas.microsoft.com/office/excel/2006/main">
          <x14:cfRule type="expression" priority="8" id="{257FF54F-3DAC-43F1-A590-FE16BD2DAE3D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BH34:BI34</xm:sqref>
        </x14:conditionalFormatting>
        <x14:conditionalFormatting xmlns:xm="http://schemas.microsoft.com/office/excel/2006/main">
          <x14:cfRule type="expression" priority="7" id="{195E9B41-907C-4362-8B7A-C47A4D9C6281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BH34:BI34</xm:sqref>
        </x14:conditionalFormatting>
        <x14:conditionalFormatting xmlns:xm="http://schemas.microsoft.com/office/excel/2006/main">
          <x14:cfRule type="expression" priority="6" id="{D52900F6-2DFD-4839-A618-8F0DE3E272C1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BI39</xm:sqref>
        </x14:conditionalFormatting>
        <x14:conditionalFormatting xmlns:xm="http://schemas.microsoft.com/office/excel/2006/main">
          <x14:cfRule type="expression" priority="5" id="{F74425E4-17F4-44A8-BA65-DEEC7D522C13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BI39</xm:sqref>
        </x14:conditionalFormatting>
        <x14:conditionalFormatting xmlns:xm="http://schemas.microsoft.com/office/excel/2006/main">
          <x14:cfRule type="expression" priority="4" id="{0009C328-D7D8-4246-A305-E970A39B4B7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BH47:BH48</xm:sqref>
        </x14:conditionalFormatting>
        <x14:conditionalFormatting xmlns:xm="http://schemas.microsoft.com/office/excel/2006/main">
          <x14:cfRule type="expression" priority="3" id="{C970E4F9-1929-42C1-B982-1508B97A9D10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BH47:BH48</xm:sqref>
        </x14:conditionalFormatting>
        <x14:conditionalFormatting xmlns:xm="http://schemas.microsoft.com/office/excel/2006/main">
          <x14:cfRule type="expression" priority="2" id="{0BD740EC-7246-406B-AC5D-77914FA8726A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BH53:BH54 BI49:BI54</xm:sqref>
        </x14:conditionalFormatting>
        <x14:conditionalFormatting xmlns:xm="http://schemas.microsoft.com/office/excel/2006/main">
          <x14:cfRule type="expression" priority="1" id="{AC7994C5-6EB2-4BD9-B57F-EE536FEDEF2D}">
            <xm:f>$AI$18&gt;Postup!$J$25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BH53:BH54 BI49:BI54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7">
        <x14:dataValidation type="list" allowBlank="1" showInputMessage="1" showErrorMessage="1" xr:uid="{00000000-0002-0000-0300-000003000000}">
          <x14:formula1>
            <xm:f>Výpočty!$B$47:$B$48</xm:f>
          </x14:formula1>
          <xm:sqref>BJ16:BK16 BE16:BF16 AZ16:BA16 AU16:AV16 AP16:AQ16 AK16:AL16 AF16:AG16 AA16:AB16 V16:W16 Q16:R16 I16:J16</xm:sqref>
        </x14:dataValidation>
        <x14:dataValidation type="list" allowBlank="1" showInputMessage="1" showErrorMessage="1" xr:uid="{00000000-0002-0000-0300-000005000000}">
          <x14:formula1>
            <xm:f>Výpočty!$B$38:$B$44</xm:f>
          </x14:formula1>
          <xm:sqref>K25:M26 K28:M29 K31:M32 K35:M36 K40:M45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13000000}">
          <x14:formula1>
            <xm:f>Výpočty!G86</xm:f>
          </x14:formula1>
          <xm:sqref>E34:F34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4000000}">
          <x14:formula1>
            <xm:f>Postup!E31</xm:f>
          </x14:formula1>
          <xm:sqref>E36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5000000}">
          <x14:formula1>
            <xm:f>Postup!E32</xm:f>
          </x14:formula1>
          <xm:sqref>F36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6000000}">
          <x14:formula1>
            <xm:f>Postup!O32*BG36</xm:f>
          </x14:formula1>
          <xm:sqref>BI36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7000000}">
          <x14:formula1>
            <xm:f>Postup!F31*N36</xm:f>
          </x14:formula1>
          <xm:sqref>O36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8000000}">
          <x14:formula1>
            <xm:f>Postup!F32*N36</xm:f>
          </x14:formula1>
          <xm:sqref>P36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9000000}">
          <x14:formula1>
            <xm:f>Postup!G31*S36</xm:f>
          </x14:formula1>
          <xm:sqref>T36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A000000}">
          <x14:formula1>
            <xm:f>Postup!G32*S36</xm:f>
          </x14:formula1>
          <xm:sqref>U36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B000000}">
          <x14:formula1>
            <xm:f>Postup!H31*X36</xm:f>
          </x14:formula1>
          <xm:sqref>Y36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C000000}">
          <x14:formula1>
            <xm:f>Postup!H32*X36</xm:f>
          </x14:formula1>
          <xm:sqref>Z36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D000000}">
          <x14:formula1>
            <xm:f>Postup!I31*AC36</xm:f>
          </x14:formula1>
          <xm:sqref>AD36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E000000}">
          <x14:formula1>
            <xm:f>Postup!I32*AC36</xm:f>
          </x14:formula1>
          <xm:sqref>AE36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1F000000}">
          <x14:formula1>
            <xm:f>Postup!J31*AH36</xm:f>
          </x14:formula1>
          <xm:sqref>AI36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0000000}">
          <x14:formula1>
            <xm:f>Postup!J32*AH36</xm:f>
          </x14:formula1>
          <xm:sqref>AJ36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1000000}">
          <x14:formula1>
            <xm:f>Postup!K31*AM36</xm:f>
          </x14:formula1>
          <xm:sqref>AN36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2000000}">
          <x14:formula1>
            <xm:f>Postup!K32*AM36</xm:f>
          </x14:formula1>
          <xm:sqref>AO36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3000000}">
          <x14:formula1>
            <xm:f>Postup!L31*AR36</xm:f>
          </x14:formula1>
          <xm:sqref>AS36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4000000}">
          <x14:formula1>
            <xm:f>Postup!L32*AR36</xm:f>
          </x14:formula1>
          <xm:sqref>AT36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5000000}">
          <x14:formula1>
            <xm:f>Postup!M31*AW36</xm:f>
          </x14:formula1>
          <xm:sqref>AX36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6000000}">
          <x14:formula1>
            <xm:f>Postup!M32*AW36</xm:f>
          </x14:formula1>
          <xm:sqref>AY36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7000000}">
          <x14:formula1>
            <xm:f>Postup!N31*BB36</xm:f>
          </x14:formula1>
          <xm:sqref>BC36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8000000}">
          <x14:formula1>
            <xm:f>Postup!N32*BB36</xm:f>
          </x14:formula1>
          <xm:sqref>BD36</xm:sqref>
        </x14:dataValidation>
        <x14:dataValidation type="decimal" errorStyle="warning" operator="greaterThanOrEqual" allowBlank="1" showInputMessage="1" showErrorMessage="1" error="Nájemné nižší než je nájemné uvedené na listu Postup může být vloženo pouze se souhlasem SFŽP." xr:uid="{00000000-0002-0000-0300-000029000000}">
          <x14:formula1>
            <xm:f>Postup!O31*BG36</xm:f>
          </x14:formula1>
          <xm:sqref>BH36</xm:sqref>
        </x14:dataValidation>
        <x14:dataValidation type="date" allowBlank="1" showInputMessage="1" showErrorMessage="1" error="Datum musí být zadáno ve tvaru DD.MM.RRRR a musí být v rozmezí Dne zahájení a konce příslušného roku, pro který je Aktualizace Kalkulace zpracovávaná." xr:uid="{00000000-0002-0000-0300-00002A000000}">
          <x14:formula1>
            <xm:f>Postup!H24</xm:f>
          </x14:formula1>
          <x14:formula2>
            <xm:f>DATE(I19,12,31)</xm:f>
          </x14:formula2>
          <xm:sqref>J17</xm:sqref>
        </x14:dataValidation>
        <x14:dataValidation type="decimal" operator="lessThanOrEqual" allowBlank="1" showInputMessage="1" showErrorMessage="1" error="Není možné zadat hodnotu vyšší než Cenový strop pro tuto položku. Cenový strop je uveden na listu Výpočty." xr:uid="{00000000-0002-0000-0300-00002B000000}">
          <x14:formula1>
            <xm:f>Výpočty!R31</xm:f>
          </x14:formula1>
          <xm:sqref>AI63:AJ63 AI66:AJ66 AI68:AJ69 AN63:AO63 AN66:AO66 AN68:AO69 AS63:AT63 AS66:AT66 AS68:AT69 AX63:AY63 AX66:AY66 AX68:AY69 BC63:BD63 BC66:BD66 BC68:BD69 BH63:BI63 BH66:BI66 BH68:BI69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2D000000}">
          <x14:formula1>
            <xm:f>Výpočty!K86</xm:f>
          </x14:formula1>
          <xm:sqref>O34 P34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2E000000}">
          <x14:formula1>
            <xm:f>Výpočty!O86</xm:f>
          </x14:formula1>
          <xm:sqref>T34:U34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30000000}">
          <x14:formula1>
            <xm:f>Výpočty!S86</xm:f>
          </x14:formula1>
          <xm:sqref>Y34 Z34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31000000}">
          <x14:formula1>
            <xm:f>Výpočty!W86</xm:f>
          </x14:formula1>
          <xm:sqref>AD34 AE34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32000000}">
          <x14:formula1>
            <xm:f>Výpočty!AA86</xm:f>
          </x14:formula1>
          <xm:sqref>AI34 AJ34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33000000}">
          <x14:formula1>
            <xm:f>Výpočty!AE86</xm:f>
          </x14:formula1>
          <xm:sqref>AN34 AO34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34000000}">
          <x14:formula1>
            <xm:f>Výpočty!AI86</xm:f>
          </x14:formula1>
          <xm:sqref>AS34:AT34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36000000}">
          <x14:formula1>
            <xm:f>Výpočty!AM86</xm:f>
          </x14:formula1>
          <xm:sqref>AX34 AY34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37000000}">
          <x14:formula1>
            <xm:f>Výpočty!AQ86</xm:f>
          </x14:formula1>
          <xm:sqref>BC34 BD34</xm:sqref>
        </x14:dataValidation>
        <x14:dataValidation type="decimal" operator="lessThanOrEqual" allowBlank="1" showInputMessage="1" showErrorMessage="1" error="V této položce není možné zadat kumulativně vyšší hodnotu než je celosmluvní Cenový strop pro tuto položku. Cenový strop je uveden na listu Výpočty." xr:uid="{00000000-0002-0000-0300-000038000000}">
          <x14:formula1>
            <xm:f>Výpočty!AU86</xm:f>
          </x14:formula1>
          <xm:sqref>BH34 BI34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CCCC"/>
  </sheetPr>
  <dimension ref="A1:AQ833"/>
  <sheetViews>
    <sheetView zoomScale="90" zoomScaleNormal="90" workbookViewId="0">
      <selection activeCell="W36" sqref="W36"/>
    </sheetView>
  </sheetViews>
  <sheetFormatPr defaultRowHeight="15" x14ac:dyDescent="0.25"/>
  <cols>
    <col min="1" max="1" width="2.7109375" customWidth="1"/>
    <col min="2" max="2" width="5.140625" customWidth="1"/>
    <col min="3" max="3" width="37.85546875" customWidth="1"/>
    <col min="5" max="5" width="9.140625" customWidth="1"/>
    <col min="9" max="10" width="2.7109375" customWidth="1"/>
    <col min="11" max="11" width="5.140625" customWidth="1"/>
    <col min="12" max="12" width="37.85546875" customWidth="1"/>
    <col min="18" max="18" width="2.5703125" customWidth="1"/>
    <col min="19" max="19" width="2.7109375" customWidth="1"/>
    <col min="20" max="20" width="5.7109375" customWidth="1"/>
    <col min="21" max="21" width="37.85546875" customWidth="1"/>
    <col min="29" max="30" width="2.7109375" customWidth="1"/>
    <col min="31" max="31" width="3.42578125" customWidth="1"/>
    <col min="32" max="32" width="40.5703125" customWidth="1"/>
    <col min="33" max="33" width="9.140625" customWidth="1"/>
    <col min="37" max="38" width="9.140625" customWidth="1"/>
    <col min="39" max="39" width="9.28515625" customWidth="1"/>
  </cols>
  <sheetData>
    <row r="1" spans="2:34" x14ac:dyDescent="0.25">
      <c r="B1" s="31"/>
      <c r="AC1" s="183"/>
      <c r="AD1" s="183"/>
      <c r="AE1" s="183"/>
      <c r="AF1" s="183"/>
      <c r="AG1" s="183"/>
      <c r="AH1" s="183"/>
    </row>
    <row r="2" spans="2:34" x14ac:dyDescent="0.25">
      <c r="B2" s="726" t="s">
        <v>393</v>
      </c>
      <c r="C2" s="727"/>
      <c r="D2" s="727"/>
      <c r="E2" s="727"/>
      <c r="F2" s="727"/>
      <c r="G2" s="727"/>
      <c r="H2" s="727"/>
      <c r="K2" s="726" t="s">
        <v>394</v>
      </c>
      <c r="L2" s="727"/>
      <c r="M2" s="727"/>
      <c r="N2" s="727"/>
      <c r="O2" s="727"/>
      <c r="P2" s="727"/>
      <c r="Q2" s="727"/>
      <c r="T2" s="726" t="s">
        <v>210</v>
      </c>
      <c r="U2" s="727"/>
      <c r="V2" s="727"/>
      <c r="W2" s="727"/>
      <c r="X2" s="727"/>
      <c r="Y2" s="727"/>
      <c r="Z2" s="727"/>
      <c r="AA2" s="727"/>
      <c r="AB2" s="727"/>
      <c r="AC2" s="183"/>
      <c r="AD2" s="183"/>
      <c r="AE2" s="183"/>
      <c r="AF2" s="183"/>
      <c r="AG2" s="446"/>
      <c r="AH2" s="446"/>
    </row>
    <row r="3" spans="2:34" x14ac:dyDescent="0.25">
      <c r="C3" s="362"/>
      <c r="E3" s="25"/>
      <c r="F3" s="25"/>
      <c r="L3" s="25"/>
      <c r="N3" s="25"/>
      <c r="T3" s="950" t="s">
        <v>395</v>
      </c>
      <c r="U3" s="950"/>
      <c r="V3" s="950"/>
      <c r="W3" s="950"/>
      <c r="X3" s="950"/>
      <c r="Y3" s="950"/>
      <c r="Z3" s="950"/>
      <c r="AA3" s="950"/>
      <c r="AB3" s="950"/>
      <c r="AC3" s="183"/>
      <c r="AD3" s="183"/>
      <c r="AE3" s="183"/>
      <c r="AF3" s="183"/>
      <c r="AG3" s="183"/>
      <c r="AH3" s="183"/>
    </row>
    <row r="4" spans="2:34" x14ac:dyDescent="0.25">
      <c r="C4" s="362" t="s">
        <v>119</v>
      </c>
      <c r="D4" s="364">
        <f>Postup!J24</f>
        <v>2020</v>
      </c>
      <c r="E4" s="25"/>
      <c r="F4" s="362" t="s">
        <v>278</v>
      </c>
      <c r="G4" s="365">
        <f>Výpočty!H$56</f>
        <v>43831</v>
      </c>
      <c r="H4" s="365" t="str">
        <f>CONCATENATE("- ",DAY(Výpočty!H57),".",MONTH(Výpočty!H57),".",D4)</f>
        <v>- 31.12.2020</v>
      </c>
      <c r="L4" s="362" t="s">
        <v>119</v>
      </c>
      <c r="M4" s="364">
        <f>D4</f>
        <v>2020</v>
      </c>
      <c r="O4" s="362" t="s">
        <v>278</v>
      </c>
      <c r="P4" s="475" t="str">
        <f>Výpočty!H$52</f>
        <v>-</v>
      </c>
      <c r="Q4" s="365" t="str">
        <f>IF(P4="-"," ",H4)</f>
        <v xml:space="preserve"> </v>
      </c>
      <c r="T4" s="441"/>
      <c r="U4" s="441"/>
      <c r="V4" s="451" t="s">
        <v>195</v>
      </c>
      <c r="W4" s="364">
        <f>M4</f>
        <v>2020</v>
      </c>
      <c r="Z4" s="362" t="s">
        <v>278</v>
      </c>
      <c r="AA4" s="365">
        <f>G4</f>
        <v>43831</v>
      </c>
      <c r="AB4" s="365" t="str">
        <f>H4</f>
        <v>- 31.12.2020</v>
      </c>
      <c r="AC4" s="183"/>
      <c r="AD4" s="183"/>
      <c r="AE4" s="183"/>
      <c r="AF4" s="183"/>
      <c r="AG4" s="183"/>
      <c r="AH4" s="183"/>
    </row>
    <row r="5" spans="2:34" x14ac:dyDescent="0.25">
      <c r="B5" s="13" t="s">
        <v>74</v>
      </c>
      <c r="C5" s="13" t="s">
        <v>105</v>
      </c>
      <c r="D5" s="941" t="str">
        <f>Nabídka!D5</f>
        <v/>
      </c>
      <c r="E5" s="942"/>
      <c r="F5" s="942"/>
      <c r="G5" s="942"/>
      <c r="H5" s="943"/>
      <c r="K5" s="13" t="s">
        <v>74</v>
      </c>
      <c r="L5" s="13" t="s">
        <v>105</v>
      </c>
      <c r="M5" s="949" t="str">
        <f t="shared" ref="M5:M7" si="0">D5</f>
        <v/>
      </c>
      <c r="N5" s="738"/>
      <c r="O5" s="738"/>
      <c r="P5" s="738"/>
      <c r="Q5" s="738"/>
      <c r="T5" s="13" t="s">
        <v>74</v>
      </c>
      <c r="U5" s="13" t="s">
        <v>105</v>
      </c>
      <c r="V5" s="949" t="str">
        <f t="shared" ref="V5:V7" si="1">D5</f>
        <v/>
      </c>
      <c r="W5" s="738"/>
      <c r="X5" s="738"/>
      <c r="Y5" s="738"/>
      <c r="Z5" s="738"/>
      <c r="AA5" s="738"/>
      <c r="AB5" s="738"/>
      <c r="AC5" s="183"/>
      <c r="AD5" s="183"/>
    </row>
    <row r="6" spans="2:34" x14ac:dyDescent="0.25">
      <c r="B6" s="13" t="s">
        <v>100</v>
      </c>
      <c r="C6" s="13" t="s">
        <v>106</v>
      </c>
      <c r="D6" s="941" t="str">
        <f>Nabídka!D6</f>
        <v/>
      </c>
      <c r="E6" s="942"/>
      <c r="F6" s="942"/>
      <c r="G6" s="942"/>
      <c r="H6" s="943"/>
      <c r="K6" s="13" t="s">
        <v>100</v>
      </c>
      <c r="L6" s="13" t="s">
        <v>106</v>
      </c>
      <c r="M6" s="941" t="str">
        <f t="shared" si="0"/>
        <v/>
      </c>
      <c r="N6" s="942"/>
      <c r="O6" s="942"/>
      <c r="P6" s="942"/>
      <c r="Q6" s="943"/>
      <c r="T6" s="13" t="s">
        <v>100</v>
      </c>
      <c r="U6" s="13" t="s">
        <v>106</v>
      </c>
      <c r="V6" s="941" t="str">
        <f t="shared" si="1"/>
        <v/>
      </c>
      <c r="W6" s="942"/>
      <c r="X6" s="942"/>
      <c r="Y6" s="942"/>
      <c r="Z6" s="942"/>
      <c r="AA6" s="942"/>
      <c r="AB6" s="943"/>
      <c r="AC6" s="183"/>
      <c r="AD6" s="183"/>
    </row>
    <row r="7" spans="2:34" x14ac:dyDescent="0.25">
      <c r="B7" s="13" t="s">
        <v>101</v>
      </c>
      <c r="C7" s="13" t="s">
        <v>107</v>
      </c>
      <c r="D7" s="941" t="str">
        <f>Nabídka!D7</f>
        <v xml:space="preserve">Město Kraslice, IČ </v>
      </c>
      <c r="E7" s="942"/>
      <c r="F7" s="942"/>
      <c r="G7" s="942"/>
      <c r="H7" s="943"/>
      <c r="K7" s="13" t="s">
        <v>101</v>
      </c>
      <c r="L7" s="13" t="s">
        <v>107</v>
      </c>
      <c r="M7" s="941" t="str">
        <f t="shared" si="0"/>
        <v xml:space="preserve">Město Kraslice, IČ </v>
      </c>
      <c r="N7" s="942"/>
      <c r="O7" s="942"/>
      <c r="P7" s="942"/>
      <c r="Q7" s="943"/>
      <c r="T7" s="13" t="s">
        <v>101</v>
      </c>
      <c r="U7" s="13" t="s">
        <v>107</v>
      </c>
      <c r="V7" s="941" t="str">
        <f t="shared" si="1"/>
        <v xml:space="preserve">Město Kraslice, IČ </v>
      </c>
      <c r="W7" s="942"/>
      <c r="X7" s="942"/>
      <c r="Y7" s="942"/>
      <c r="Z7" s="942"/>
      <c r="AA7" s="942"/>
      <c r="AB7" s="943"/>
      <c r="AC7" s="183"/>
      <c r="AD7" s="183"/>
    </row>
    <row r="8" spans="2:34" x14ac:dyDescent="0.25">
      <c r="B8" s="13" t="s">
        <v>102</v>
      </c>
      <c r="C8" s="13" t="s">
        <v>109</v>
      </c>
      <c r="D8" s="946" t="str">
        <f>IF(ISBLANK(Nabídka!$D$8),"[vyplnit]",Nabídka!$D$8)</f>
        <v>[vyplnit]</v>
      </c>
      <c r="E8" s="947"/>
      <c r="F8" s="947"/>
      <c r="G8" s="947"/>
      <c r="H8" s="948"/>
      <c r="K8" s="13" t="s">
        <v>102</v>
      </c>
      <c r="L8" s="13" t="s">
        <v>109</v>
      </c>
      <c r="M8" s="926" t="str">
        <f>IF($D8="[vyplnit]"," ",$D8)</f>
        <v xml:space="preserve"> </v>
      </c>
      <c r="N8" s="927"/>
      <c r="O8" s="927"/>
      <c r="P8" s="927"/>
      <c r="Q8" s="928"/>
      <c r="T8" s="13" t="s">
        <v>102</v>
      </c>
      <c r="U8" s="13" t="s">
        <v>109</v>
      </c>
      <c r="V8" s="933" t="str">
        <f>IF($D8="[vyplnit]"," ",$D8)</f>
        <v xml:space="preserve"> </v>
      </c>
      <c r="W8" s="933"/>
      <c r="X8" s="933"/>
      <c r="Y8" s="933"/>
      <c r="Z8" s="933"/>
      <c r="AA8" s="933"/>
      <c r="AB8" s="933"/>
      <c r="AC8" s="183"/>
      <c r="AD8" s="183"/>
    </row>
    <row r="9" spans="2:34" x14ac:dyDescent="0.25">
      <c r="B9" s="13" t="s">
        <v>103</v>
      </c>
      <c r="C9" s="13" t="s">
        <v>108</v>
      </c>
      <c r="D9" s="946" t="str">
        <f>IF(ISBLANK(Nabídka!$D$9),"[vyplnit]",Nabídka!$D$9)</f>
        <v>[vyplnit]</v>
      </c>
      <c r="E9" s="947"/>
      <c r="F9" s="947"/>
      <c r="G9" s="947"/>
      <c r="H9" s="948"/>
      <c r="K9" s="13" t="s">
        <v>103</v>
      </c>
      <c r="L9" s="13" t="s">
        <v>108</v>
      </c>
      <c r="M9" s="926" t="str">
        <f t="shared" ref="M9:M10" si="2">IF($D9="[vyplnit]"," ",$D9)</f>
        <v xml:space="preserve"> </v>
      </c>
      <c r="N9" s="927"/>
      <c r="O9" s="927"/>
      <c r="P9" s="927"/>
      <c r="Q9" s="928"/>
      <c r="T9" s="13" t="s">
        <v>103</v>
      </c>
      <c r="U9" s="13" t="s">
        <v>108</v>
      </c>
      <c r="V9" s="933" t="str">
        <f t="shared" ref="V9:V10" si="3">IF($D9="[vyplnit]"," ",$D9)</f>
        <v xml:space="preserve"> </v>
      </c>
      <c r="W9" s="933"/>
      <c r="X9" s="933"/>
      <c r="Y9" s="933"/>
      <c r="Z9" s="933"/>
      <c r="AA9" s="933"/>
      <c r="AB9" s="933"/>
      <c r="AC9" s="183"/>
      <c r="AD9" s="183"/>
    </row>
    <row r="10" spans="2:34" x14ac:dyDescent="0.25">
      <c r="B10" s="13" t="s">
        <v>104</v>
      </c>
      <c r="C10" s="13" t="s">
        <v>110</v>
      </c>
      <c r="D10" s="946" t="str">
        <f>IF(ISBLANK(Nabídka!$D$10),"[vyplnit]",Nabídka!$D$10)</f>
        <v>[vyplnit]</v>
      </c>
      <c r="E10" s="947"/>
      <c r="F10" s="947"/>
      <c r="G10" s="947"/>
      <c r="H10" s="948"/>
      <c r="K10" s="13" t="s">
        <v>104</v>
      </c>
      <c r="L10" s="13" t="s">
        <v>110</v>
      </c>
      <c r="M10" s="926" t="str">
        <f t="shared" si="2"/>
        <v xml:space="preserve"> </v>
      </c>
      <c r="N10" s="927"/>
      <c r="O10" s="927"/>
      <c r="P10" s="927"/>
      <c r="Q10" s="928"/>
      <c r="T10" s="13" t="s">
        <v>104</v>
      </c>
      <c r="U10" s="13" t="s">
        <v>110</v>
      </c>
      <c r="V10" s="933" t="str">
        <f t="shared" si="3"/>
        <v xml:space="preserve"> </v>
      </c>
      <c r="W10" s="933"/>
      <c r="X10" s="933"/>
      <c r="Y10" s="933"/>
      <c r="Z10" s="933"/>
      <c r="AA10" s="933"/>
      <c r="AB10" s="933"/>
      <c r="AC10" s="183"/>
      <c r="AD10" s="183"/>
    </row>
    <row r="11" spans="2:34" x14ac:dyDescent="0.25">
      <c r="AC11" s="183"/>
    </row>
    <row r="12" spans="2:34" ht="15" customHeight="1" x14ac:dyDescent="0.25">
      <c r="B12" s="932" t="s">
        <v>5</v>
      </c>
      <c r="C12" s="721" t="s">
        <v>0</v>
      </c>
      <c r="D12" s="722"/>
      <c r="E12" s="722"/>
      <c r="F12" s="722"/>
      <c r="G12" s="722"/>
      <c r="H12" s="725"/>
      <c r="K12" s="932" t="s">
        <v>5</v>
      </c>
      <c r="L12" s="721" t="s">
        <v>0</v>
      </c>
      <c r="M12" s="722"/>
      <c r="N12" s="722"/>
      <c r="O12" s="722"/>
      <c r="P12" s="722"/>
      <c r="Q12" s="725"/>
      <c r="T12" s="932" t="s">
        <v>5</v>
      </c>
      <c r="U12" s="721" t="s">
        <v>0</v>
      </c>
      <c r="V12" s="722"/>
      <c r="W12" s="722"/>
      <c r="X12" s="722"/>
      <c r="Y12" s="722"/>
      <c r="Z12" s="722"/>
      <c r="AA12" s="722"/>
      <c r="AB12" s="725"/>
      <c r="AC12" s="183"/>
    </row>
    <row r="13" spans="2:34" x14ac:dyDescent="0.25">
      <c r="B13" s="930"/>
      <c r="C13" s="932" t="s">
        <v>1</v>
      </c>
      <c r="D13" s="929" t="s">
        <v>173</v>
      </c>
      <c r="E13" s="721" t="s">
        <v>3</v>
      </c>
      <c r="F13" s="722"/>
      <c r="G13" s="721" t="s">
        <v>4</v>
      </c>
      <c r="H13" s="725"/>
      <c r="K13" s="930"/>
      <c r="L13" s="932" t="s">
        <v>1</v>
      </c>
      <c r="M13" s="929" t="s">
        <v>173</v>
      </c>
      <c r="N13" s="721" t="s">
        <v>3</v>
      </c>
      <c r="O13" s="722"/>
      <c r="P13" s="721" t="s">
        <v>4</v>
      </c>
      <c r="Q13" s="725"/>
      <c r="T13" s="930"/>
      <c r="U13" s="932" t="s">
        <v>1</v>
      </c>
      <c r="V13" s="929" t="s">
        <v>173</v>
      </c>
      <c r="W13" s="721" t="s">
        <v>3</v>
      </c>
      <c r="X13" s="722"/>
      <c r="Y13" s="722"/>
      <c r="Z13" s="721" t="s">
        <v>4</v>
      </c>
      <c r="AA13" s="722"/>
      <c r="AB13" s="725"/>
      <c r="AC13" s="183"/>
    </row>
    <row r="14" spans="2:34" x14ac:dyDescent="0.25">
      <c r="B14" s="930"/>
      <c r="C14" s="930"/>
      <c r="D14" s="930"/>
      <c r="E14" s="30">
        <f>D4-1</f>
        <v>2019</v>
      </c>
      <c r="F14" s="30">
        <f>D4</f>
        <v>2020</v>
      </c>
      <c r="G14" s="30">
        <f>D4-1</f>
        <v>2019</v>
      </c>
      <c r="H14" s="30">
        <f>D4</f>
        <v>2020</v>
      </c>
      <c r="K14" s="930"/>
      <c r="L14" s="930"/>
      <c r="M14" s="930"/>
      <c r="N14" s="30">
        <f>M4-1</f>
        <v>2019</v>
      </c>
      <c r="O14" s="30">
        <f>M4</f>
        <v>2020</v>
      </c>
      <c r="P14" s="30">
        <f>M4-1</f>
        <v>2019</v>
      </c>
      <c r="Q14" s="30">
        <f>M4</f>
        <v>2020</v>
      </c>
      <c r="T14" s="930"/>
      <c r="U14" s="930"/>
      <c r="V14" s="930"/>
      <c r="W14" s="30">
        <f>W4</f>
        <v>2020</v>
      </c>
      <c r="X14" s="30">
        <f>W4</f>
        <v>2020</v>
      </c>
      <c r="Y14" s="30">
        <f>W4</f>
        <v>2020</v>
      </c>
      <c r="Z14" s="30">
        <f>W4</f>
        <v>2020</v>
      </c>
      <c r="AA14" s="30">
        <f>W4</f>
        <v>2020</v>
      </c>
      <c r="AB14" s="30">
        <f>W4</f>
        <v>2020</v>
      </c>
      <c r="AC14" s="183"/>
    </row>
    <row r="15" spans="2:34" x14ac:dyDescent="0.25">
      <c r="B15" s="931"/>
      <c r="C15" s="931"/>
      <c r="D15" s="931"/>
      <c r="E15" s="7" t="s">
        <v>199</v>
      </c>
      <c r="F15" s="7" t="s">
        <v>114</v>
      </c>
      <c r="G15" s="7" t="s">
        <v>199</v>
      </c>
      <c r="H15" s="19" t="s">
        <v>114</v>
      </c>
      <c r="K15" s="931"/>
      <c r="L15" s="931"/>
      <c r="M15" s="931"/>
      <c r="N15" s="7" t="s">
        <v>199</v>
      </c>
      <c r="O15" s="7" t="s">
        <v>114</v>
      </c>
      <c r="P15" s="7" t="s">
        <v>199</v>
      </c>
      <c r="Q15" s="19" t="s">
        <v>114</v>
      </c>
      <c r="T15" s="931"/>
      <c r="U15" s="931"/>
      <c r="V15" s="931"/>
      <c r="W15" s="7" t="s">
        <v>198</v>
      </c>
      <c r="X15" s="7" t="s">
        <v>114</v>
      </c>
      <c r="Y15" s="7" t="s">
        <v>197</v>
      </c>
      <c r="Z15" s="7" t="s">
        <v>198</v>
      </c>
      <c r="AA15" s="7" t="s">
        <v>114</v>
      </c>
      <c r="AB15" s="19" t="s">
        <v>197</v>
      </c>
      <c r="AC15" s="183"/>
    </row>
    <row r="16" spans="2:34" x14ac:dyDescent="0.25">
      <c r="B16" s="11">
        <v>1</v>
      </c>
      <c r="C16" s="11">
        <v>2</v>
      </c>
      <c r="D16" s="11" t="s">
        <v>111</v>
      </c>
      <c r="E16" s="11">
        <v>3</v>
      </c>
      <c r="F16" s="11">
        <v>4</v>
      </c>
      <c r="G16" s="11">
        <v>6</v>
      </c>
      <c r="H16" s="22">
        <v>7</v>
      </c>
      <c r="K16" s="11">
        <v>1</v>
      </c>
      <c r="L16" s="11">
        <v>2</v>
      </c>
      <c r="M16" s="11" t="s">
        <v>111</v>
      </c>
      <c r="N16" s="11">
        <v>3</v>
      </c>
      <c r="O16" s="11">
        <v>4</v>
      </c>
      <c r="P16" s="11">
        <v>6</v>
      </c>
      <c r="Q16" s="22">
        <v>7</v>
      </c>
      <c r="T16" s="11">
        <v>1</v>
      </c>
      <c r="U16" s="11">
        <v>2</v>
      </c>
      <c r="V16" s="11" t="s">
        <v>111</v>
      </c>
      <c r="W16" s="11">
        <v>3</v>
      </c>
      <c r="X16" s="11">
        <v>4</v>
      </c>
      <c r="Y16" s="11">
        <v>5</v>
      </c>
      <c r="Z16" s="11">
        <v>6</v>
      </c>
      <c r="AA16" s="11">
        <v>7</v>
      </c>
      <c r="AB16" s="22">
        <v>8</v>
      </c>
      <c r="AC16" s="183"/>
    </row>
    <row r="17" spans="2:30" x14ac:dyDescent="0.25">
      <c r="B17" s="9" t="s">
        <v>8</v>
      </c>
      <c r="C17" s="10" t="s">
        <v>9</v>
      </c>
      <c r="D17" s="11" t="s">
        <v>10</v>
      </c>
      <c r="E17" s="46">
        <f>SUM(E18:E21)</f>
        <v>0</v>
      </c>
      <c r="F17" s="46">
        <f>SUM(F18:F21)</f>
        <v>0</v>
      </c>
      <c r="G17" s="46">
        <f>SUM(G18:G21)</f>
        <v>0</v>
      </c>
      <c r="H17" s="98">
        <f>SUM(H18:H21)</f>
        <v>0.28999999999999998</v>
      </c>
      <c r="K17" s="9" t="s">
        <v>8</v>
      </c>
      <c r="L17" s="10" t="s">
        <v>9</v>
      </c>
      <c r="M17" s="11" t="s">
        <v>10</v>
      </c>
      <c r="N17" s="46">
        <f>SUM(N18:N21)</f>
        <v>0</v>
      </c>
      <c r="O17" s="46">
        <f>SUM(O18:O21)</f>
        <v>0</v>
      </c>
      <c r="P17" s="46">
        <f>SUM(P18:P21)</f>
        <v>0</v>
      </c>
      <c r="Q17" s="98">
        <f>SUM(Q18:Q21)</f>
        <v>0</v>
      </c>
      <c r="T17" s="9" t="s">
        <v>8</v>
      </c>
      <c r="U17" s="10" t="s">
        <v>9</v>
      </c>
      <c r="V17" s="11" t="s">
        <v>10</v>
      </c>
      <c r="W17" s="98">
        <f t="shared" ref="W17:AB17" si="4">SUM(W18:W21)</f>
        <v>0</v>
      </c>
      <c r="X17" s="98">
        <f t="shared" si="4"/>
        <v>0</v>
      </c>
      <c r="Y17" s="98">
        <f t="shared" si="4"/>
        <v>0</v>
      </c>
      <c r="Z17" s="98">
        <f t="shared" si="4"/>
        <v>0</v>
      </c>
      <c r="AA17" s="98">
        <f t="shared" si="4"/>
        <v>0.28999999999999998</v>
      </c>
      <c r="AB17" s="98">
        <f t="shared" si="4"/>
        <v>-0.28999999999999998</v>
      </c>
      <c r="AC17" s="183"/>
    </row>
    <row r="18" spans="2:30" x14ac:dyDescent="0.25">
      <c r="B18" s="12" t="s">
        <v>11</v>
      </c>
      <c r="C18" s="13" t="s">
        <v>12</v>
      </c>
      <c r="D18" s="3" t="s">
        <v>10</v>
      </c>
      <c r="E18" s="49">
        <v>0</v>
      </c>
      <c r="F18" s="49">
        <f>IF(AND(DAY(Postup!$H$24)=1,MONTH(Postup!$H$24)=1),Provozování!E23,Provozování!G23)</f>
        <v>0</v>
      </c>
      <c r="G18" s="49">
        <v>0</v>
      </c>
      <c r="H18" s="442">
        <v>0</v>
      </c>
      <c r="K18" s="12" t="s">
        <v>11</v>
      </c>
      <c r="L18" s="13" t="s">
        <v>12</v>
      </c>
      <c r="M18" s="3" t="s">
        <v>10</v>
      </c>
      <c r="N18" s="49">
        <v>0</v>
      </c>
      <c r="O18" s="49">
        <f>IF(Provozování!$I$16="Neaktivní",0,Provozování!I23)</f>
        <v>0</v>
      </c>
      <c r="P18" s="49">
        <v>0</v>
      </c>
      <c r="Q18" s="442">
        <v>0</v>
      </c>
      <c r="T18" s="12" t="s">
        <v>11</v>
      </c>
      <c r="U18" s="13" t="s">
        <v>12</v>
      </c>
      <c r="V18" s="3" t="s">
        <v>10</v>
      </c>
      <c r="W18" s="595">
        <v>0</v>
      </c>
      <c r="X18" s="49">
        <f>IF(Provozování!$I$16="Neaktivní",F18,F18*Výpočty!$H$58+O18)</f>
        <v>0</v>
      </c>
      <c r="Y18" s="49">
        <f>W18-X18</f>
        <v>0</v>
      </c>
      <c r="Z18" s="445">
        <v>0</v>
      </c>
      <c r="AA18" s="445">
        <v>0</v>
      </c>
      <c r="AB18" s="442">
        <v>0</v>
      </c>
      <c r="AC18" s="183"/>
    </row>
    <row r="19" spans="2:30" x14ac:dyDescent="0.25">
      <c r="B19" s="12" t="s">
        <v>13</v>
      </c>
      <c r="C19" s="12" t="s">
        <v>14</v>
      </c>
      <c r="D19" s="3" t="s">
        <v>10</v>
      </c>
      <c r="E19" s="58">
        <v>0</v>
      </c>
      <c r="F19" s="49">
        <f>IF(AND(DAY(Postup!$H$24)=1,MONTH(Postup!$H$24)=1),Provozování!E24,Provozování!G24)</f>
        <v>0</v>
      </c>
      <c r="G19" s="58">
        <v>0</v>
      </c>
      <c r="H19" s="32">
        <f>IF(AND(DAY(Postup!$H$24)=1,MONTH(Postup!$H$24)=1),Provozování!F24,Provozování!H24)</f>
        <v>0.28999999999999998</v>
      </c>
      <c r="K19" s="12" t="s">
        <v>13</v>
      </c>
      <c r="L19" s="12" t="s">
        <v>14</v>
      </c>
      <c r="M19" s="3" t="s">
        <v>10</v>
      </c>
      <c r="N19" s="58">
        <v>0</v>
      </c>
      <c r="O19" s="49">
        <f>IF(Provozování!$I$16="Neaktivní",0,Provozování!I24)</f>
        <v>0</v>
      </c>
      <c r="P19" s="58">
        <v>0</v>
      </c>
      <c r="Q19" s="59">
        <f>IF(Provozování!$I$16="Neaktivní",0,Provozování!J24)</f>
        <v>0</v>
      </c>
      <c r="T19" s="12" t="s">
        <v>13</v>
      </c>
      <c r="U19" s="12" t="s">
        <v>14</v>
      </c>
      <c r="V19" s="3" t="s">
        <v>10</v>
      </c>
      <c r="W19" s="596">
        <v>0</v>
      </c>
      <c r="X19" s="49">
        <f>IF(Provozování!$I$16="Neaktivní",F19,F19*Výpočty!$H$58+O19)</f>
        <v>0</v>
      </c>
      <c r="Y19" s="49">
        <f t="shared" ref="Y19:Y21" si="5">W19-X19</f>
        <v>0</v>
      </c>
      <c r="Z19" s="596">
        <v>0</v>
      </c>
      <c r="AA19" s="49">
        <f>IF(Provozování!$I$16="Neaktivní",H19,H19*Výpočty!$H$58+Q19)</f>
        <v>0.28999999999999998</v>
      </c>
      <c r="AB19" s="32">
        <f t="shared" ref="AB19" si="6">Z19-AA19</f>
        <v>-0.28999999999999998</v>
      </c>
      <c r="AC19" s="183"/>
    </row>
    <row r="20" spans="2:30" x14ac:dyDescent="0.25">
      <c r="B20" s="12" t="s">
        <v>15</v>
      </c>
      <c r="C20" s="13" t="s">
        <v>16</v>
      </c>
      <c r="D20" s="3" t="s">
        <v>10</v>
      </c>
      <c r="E20" s="32">
        <v>0</v>
      </c>
      <c r="F20" s="589">
        <f>IF(AND(DAY(Postup!$H$24)=1,MONTH(Postup!$H$24)=1),Provozování!E25,Provozování!G25)</f>
        <v>0</v>
      </c>
      <c r="G20" s="32">
        <v>0</v>
      </c>
      <c r="H20" s="590">
        <f>IF(AND(DAY(Postup!$H$24)=1,MONTH(Postup!$H$24)=1),Provozování!F25,Provozování!H25)</f>
        <v>0</v>
      </c>
      <c r="K20" s="12" t="s">
        <v>15</v>
      </c>
      <c r="L20" s="13" t="s">
        <v>16</v>
      </c>
      <c r="M20" s="3" t="s">
        <v>10</v>
      </c>
      <c r="N20" s="32">
        <v>0</v>
      </c>
      <c r="O20" s="589">
        <f>IF(Provozování!$I$16="Neaktivní",0,Provozování!I25)</f>
        <v>0</v>
      </c>
      <c r="P20" s="32">
        <v>0</v>
      </c>
      <c r="Q20" s="594">
        <f>IF(Provozování!$I$16="Neaktivní",0,Provozování!J25)</f>
        <v>0</v>
      </c>
      <c r="T20" s="12" t="s">
        <v>15</v>
      </c>
      <c r="U20" s="13" t="s">
        <v>16</v>
      </c>
      <c r="V20" s="3" t="s">
        <v>10</v>
      </c>
      <c r="W20" s="597">
        <v>0</v>
      </c>
      <c r="X20" s="49">
        <f>IF(Provozování!$I$16="Neaktivní",F20,F20*Výpočty!$H$58+O20)</f>
        <v>0</v>
      </c>
      <c r="Y20" s="49">
        <f t="shared" si="5"/>
        <v>0</v>
      </c>
      <c r="Z20" s="597">
        <v>0</v>
      </c>
      <c r="AA20" s="49">
        <f>IF(Provozování!$I$16="Neaktivní",H20,H20*Výpočty!$H$58+Q20)</f>
        <v>0</v>
      </c>
      <c r="AB20" s="32">
        <f t="shared" ref="AB20:AB21" si="7">Z20-AA20</f>
        <v>0</v>
      </c>
      <c r="AC20" s="183"/>
    </row>
    <row r="21" spans="2:30" x14ac:dyDescent="0.25">
      <c r="B21" s="12" t="s">
        <v>17</v>
      </c>
      <c r="C21" s="13" t="s">
        <v>18</v>
      </c>
      <c r="D21" s="3" t="s">
        <v>10</v>
      </c>
      <c r="E21" s="99">
        <v>0</v>
      </c>
      <c r="F21" s="589">
        <f>IF(AND(DAY(Postup!$H$24)=1,MONTH(Postup!$H$24)=1),Provozování!E26,Provozování!G26)</f>
        <v>0</v>
      </c>
      <c r="G21" s="99">
        <v>0</v>
      </c>
      <c r="H21" s="590">
        <f>IF(AND(DAY(Postup!$H$24)=1,MONTH(Postup!$H$24)=1),Provozování!F26,Provozování!H26)</f>
        <v>0</v>
      </c>
      <c r="K21" s="12" t="s">
        <v>17</v>
      </c>
      <c r="L21" s="13" t="s">
        <v>18</v>
      </c>
      <c r="M21" s="3" t="s">
        <v>10</v>
      </c>
      <c r="N21" s="99">
        <v>0</v>
      </c>
      <c r="O21" s="589">
        <f>IF(Provozování!$I$16="Neaktivní",0,Provozování!I26)</f>
        <v>0</v>
      </c>
      <c r="P21" s="99">
        <v>0</v>
      </c>
      <c r="Q21" s="594">
        <f>IF(Provozování!$I$16="Neaktivní",0,Provozování!J26)</f>
        <v>0</v>
      </c>
      <c r="T21" s="12" t="s">
        <v>17</v>
      </c>
      <c r="U21" s="13" t="s">
        <v>18</v>
      </c>
      <c r="V21" s="3" t="s">
        <v>10</v>
      </c>
      <c r="W21" s="598">
        <v>0</v>
      </c>
      <c r="X21" s="49">
        <f>IF(Provozování!$I$16="Neaktivní",F21,F21*Výpočty!$H$58+O21)</f>
        <v>0</v>
      </c>
      <c r="Y21" s="49">
        <f t="shared" si="5"/>
        <v>0</v>
      </c>
      <c r="Z21" s="598">
        <v>0</v>
      </c>
      <c r="AA21" s="49">
        <f>IF(Provozování!$I$16="Neaktivní",H21,H21*Výpočty!$H$58+Q21)</f>
        <v>0</v>
      </c>
      <c r="AB21" s="32">
        <f t="shared" si="7"/>
        <v>0</v>
      </c>
      <c r="AC21" s="183"/>
    </row>
    <row r="22" spans="2:30" x14ac:dyDescent="0.25">
      <c r="B22" s="9" t="s">
        <v>19</v>
      </c>
      <c r="C22" s="10" t="s">
        <v>20</v>
      </c>
      <c r="D22" s="11" t="s">
        <v>10</v>
      </c>
      <c r="E22" s="100">
        <f>SUM(E23:E24)</f>
        <v>0</v>
      </c>
      <c r="F22" s="100">
        <f>SUM(F23:F24)</f>
        <v>0</v>
      </c>
      <c r="G22" s="100">
        <f>SUM(G23:G24)</f>
        <v>0</v>
      </c>
      <c r="H22" s="98">
        <f>SUM(H23:H24)</f>
        <v>0</v>
      </c>
      <c r="K22" s="9" t="s">
        <v>19</v>
      </c>
      <c r="L22" s="10" t="s">
        <v>20</v>
      </c>
      <c r="M22" s="11" t="s">
        <v>10</v>
      </c>
      <c r="N22" s="100">
        <f>SUM(N23:N24)</f>
        <v>0</v>
      </c>
      <c r="O22" s="100">
        <f>SUM(O23:O24)</f>
        <v>0</v>
      </c>
      <c r="P22" s="100">
        <f>SUM(P23:P24)</f>
        <v>0</v>
      </c>
      <c r="Q22" s="98">
        <f>SUM(Q23:Q24)</f>
        <v>0</v>
      </c>
      <c r="T22" s="9" t="s">
        <v>19</v>
      </c>
      <c r="U22" s="10" t="s">
        <v>20</v>
      </c>
      <c r="V22" s="11" t="s">
        <v>10</v>
      </c>
      <c r="W22" s="98">
        <f t="shared" ref="W22:AB22" si="8">SUM(W23:W24)</f>
        <v>0</v>
      </c>
      <c r="X22" s="98">
        <f t="shared" si="8"/>
        <v>0</v>
      </c>
      <c r="Y22" s="98">
        <f t="shared" si="8"/>
        <v>0</v>
      </c>
      <c r="Z22" s="98">
        <f t="shared" si="8"/>
        <v>0</v>
      </c>
      <c r="AA22" s="98">
        <f t="shared" si="8"/>
        <v>0</v>
      </c>
      <c r="AB22" s="98">
        <f t="shared" si="8"/>
        <v>0</v>
      </c>
      <c r="AC22" s="183"/>
    </row>
    <row r="23" spans="2:30" x14ac:dyDescent="0.25">
      <c r="B23" s="12" t="s">
        <v>21</v>
      </c>
      <c r="C23" s="12" t="s">
        <v>22</v>
      </c>
      <c r="D23" s="3" t="s">
        <v>10</v>
      </c>
      <c r="E23" s="32">
        <v>0</v>
      </c>
      <c r="F23" s="589">
        <f>IF(AND(DAY(Postup!$H$24)=1,MONTH(Postup!$H$24)=1),Provozování!E28,Provozování!G28)</f>
        <v>0</v>
      </c>
      <c r="G23" s="32">
        <v>0</v>
      </c>
      <c r="H23" s="590">
        <f>IF(AND(DAY(Postup!$H$24)=1,MONTH(Postup!$H$24)=1),Provozování!F28,Provozování!H28)</f>
        <v>0</v>
      </c>
      <c r="K23" s="12" t="s">
        <v>21</v>
      </c>
      <c r="L23" s="12" t="s">
        <v>22</v>
      </c>
      <c r="M23" s="3" t="s">
        <v>10</v>
      </c>
      <c r="N23" s="32">
        <v>0</v>
      </c>
      <c r="O23" s="589">
        <f>IF(Provozování!$I$16="Neaktivní",0,Provozování!I28)</f>
        <v>0</v>
      </c>
      <c r="P23" s="32">
        <v>0</v>
      </c>
      <c r="Q23" s="594">
        <f>IF(Provozování!$I$16="Neaktivní",0,Provozování!J28)</f>
        <v>0</v>
      </c>
      <c r="T23" s="12" t="s">
        <v>21</v>
      </c>
      <c r="U23" s="12" t="s">
        <v>22</v>
      </c>
      <c r="V23" s="3" t="s">
        <v>10</v>
      </c>
      <c r="W23" s="595">
        <v>0</v>
      </c>
      <c r="X23" s="49">
        <f>IF(Provozování!$I$16="Neaktivní",F23,F23*Výpočty!$H$58+O23)</f>
        <v>0</v>
      </c>
      <c r="Y23" s="49">
        <f t="shared" ref="Y23:Y24" si="9">W23-X23</f>
        <v>0</v>
      </c>
      <c r="Z23" s="597">
        <v>0</v>
      </c>
      <c r="AA23" s="49">
        <f>IF(Provozování!$I$16="Neaktivní",H23,H23*Výpočty!$H$58+Q23)</f>
        <v>0</v>
      </c>
      <c r="AB23" s="32">
        <f t="shared" ref="AB23:AB24" si="10">Z23-AA23</f>
        <v>0</v>
      </c>
      <c r="AC23" s="183"/>
    </row>
    <row r="24" spans="2:30" x14ac:dyDescent="0.25">
      <c r="B24" s="12" t="s">
        <v>23</v>
      </c>
      <c r="C24" s="12" t="s">
        <v>24</v>
      </c>
      <c r="D24" s="3" t="s">
        <v>10</v>
      </c>
      <c r="E24" s="99">
        <v>0</v>
      </c>
      <c r="F24" s="589">
        <f>IF(AND(DAY(Postup!$H$24)=1,MONTH(Postup!$H$24)=1),Provozování!E29,Provozování!G29)</f>
        <v>0</v>
      </c>
      <c r="G24" s="99">
        <v>0</v>
      </c>
      <c r="H24" s="590">
        <f>IF(AND(DAY(Postup!$H$24)=1,MONTH(Postup!$H$24)=1),Provozování!F29,Provozování!H29)</f>
        <v>0</v>
      </c>
      <c r="K24" s="12" t="s">
        <v>23</v>
      </c>
      <c r="L24" s="12" t="s">
        <v>24</v>
      </c>
      <c r="M24" s="3" t="s">
        <v>10</v>
      </c>
      <c r="N24" s="99">
        <v>0</v>
      </c>
      <c r="O24" s="589">
        <f>IF(Provozování!$I$16="Neaktivní",0,Provozování!I29)</f>
        <v>0</v>
      </c>
      <c r="P24" s="99">
        <v>0</v>
      </c>
      <c r="Q24" s="594">
        <f>IF(Provozování!$I$16="Neaktivní",0,Provozování!J29)</f>
        <v>0</v>
      </c>
      <c r="T24" s="12" t="s">
        <v>23</v>
      </c>
      <c r="U24" s="12" t="s">
        <v>24</v>
      </c>
      <c r="V24" s="3" t="s">
        <v>10</v>
      </c>
      <c r="W24" s="596">
        <v>0</v>
      </c>
      <c r="X24" s="49">
        <f>IF(Provozování!$I$16="Neaktivní",F24,F24*Výpočty!$H$58+O24)</f>
        <v>0</v>
      </c>
      <c r="Y24" s="49">
        <f t="shared" si="9"/>
        <v>0</v>
      </c>
      <c r="Z24" s="598">
        <v>0</v>
      </c>
      <c r="AA24" s="49">
        <f>IF(Provozování!$I$16="Neaktivní",H24,H24*Výpočty!$H$58+Q24)</f>
        <v>0</v>
      </c>
      <c r="AB24" s="32">
        <f t="shared" si="10"/>
        <v>0</v>
      </c>
      <c r="AC24" s="183"/>
    </row>
    <row r="25" spans="2:30" x14ac:dyDescent="0.25">
      <c r="B25" s="9" t="s">
        <v>25</v>
      </c>
      <c r="C25" s="10" t="s">
        <v>26</v>
      </c>
      <c r="D25" s="11" t="s">
        <v>10</v>
      </c>
      <c r="E25" s="46">
        <f>SUM(E26:E27)</f>
        <v>0</v>
      </c>
      <c r="F25" s="46">
        <f>SUM(F26:F27)</f>
        <v>0</v>
      </c>
      <c r="G25" s="46">
        <f>SUM(G26:G27)</f>
        <v>0</v>
      </c>
      <c r="H25" s="98">
        <f>SUM(H26:H27)</f>
        <v>0</v>
      </c>
      <c r="K25" s="9" t="s">
        <v>25</v>
      </c>
      <c r="L25" s="10" t="s">
        <v>26</v>
      </c>
      <c r="M25" s="11" t="s">
        <v>10</v>
      </c>
      <c r="N25" s="46">
        <f>SUM(N26:N27)</f>
        <v>0</v>
      </c>
      <c r="O25" s="46">
        <f>SUM(O26:O27)</f>
        <v>0</v>
      </c>
      <c r="P25" s="46">
        <f>SUM(P26:P27)</f>
        <v>0</v>
      </c>
      <c r="Q25" s="98">
        <f>SUM(Q26:Q27)</f>
        <v>0</v>
      </c>
      <c r="T25" s="9" t="s">
        <v>25</v>
      </c>
      <c r="U25" s="10" t="s">
        <v>26</v>
      </c>
      <c r="V25" s="11" t="s">
        <v>10</v>
      </c>
      <c r="W25" s="98">
        <f t="shared" ref="W25:AB25" si="11">SUM(W26:W27)</f>
        <v>0</v>
      </c>
      <c r="X25" s="98">
        <f t="shared" si="11"/>
        <v>0</v>
      </c>
      <c r="Y25" s="98">
        <f t="shared" si="11"/>
        <v>0</v>
      </c>
      <c r="Z25" s="98">
        <f t="shared" si="11"/>
        <v>0</v>
      </c>
      <c r="AA25" s="98">
        <f t="shared" si="11"/>
        <v>0</v>
      </c>
      <c r="AB25" s="98">
        <f t="shared" si="11"/>
        <v>0</v>
      </c>
      <c r="AC25" s="183"/>
      <c r="AD25" s="183"/>
    </row>
    <row r="26" spans="2:30" x14ac:dyDescent="0.25">
      <c r="B26" s="12" t="s">
        <v>27</v>
      </c>
      <c r="C26" s="13" t="s">
        <v>28</v>
      </c>
      <c r="D26" s="3" t="s">
        <v>10</v>
      </c>
      <c r="E26" s="49">
        <v>0</v>
      </c>
      <c r="F26" s="589">
        <f>IF(AND(DAY(Postup!$H$24)=1,MONTH(Postup!$H$24)=1),Provozování!E31,Provozování!G31)</f>
        <v>0</v>
      </c>
      <c r="G26" s="49">
        <v>0</v>
      </c>
      <c r="H26" s="590">
        <f>IF(AND(DAY(Postup!$H$24)=1,MONTH(Postup!$H$24)=1),Provozování!F31,Provozování!H31)</f>
        <v>0</v>
      </c>
      <c r="K26" s="12" t="s">
        <v>27</v>
      </c>
      <c r="L26" s="13" t="s">
        <v>28</v>
      </c>
      <c r="M26" s="3" t="s">
        <v>10</v>
      </c>
      <c r="N26" s="49">
        <v>0</v>
      </c>
      <c r="O26" s="589">
        <f>IF(Provozování!$I$16="Neaktivní",0,Provozování!I31)</f>
        <v>0</v>
      </c>
      <c r="P26" s="49">
        <v>0</v>
      </c>
      <c r="Q26" s="594">
        <f>IF(Provozování!$I$16="Neaktivní",0,Provozování!J31)</f>
        <v>0</v>
      </c>
      <c r="T26" s="12" t="s">
        <v>27</v>
      </c>
      <c r="U26" s="13" t="s">
        <v>28</v>
      </c>
      <c r="V26" s="3" t="s">
        <v>10</v>
      </c>
      <c r="W26" s="595">
        <v>0</v>
      </c>
      <c r="X26" s="49">
        <f>IF(Provozování!$I$16="Neaktivní",F26,F26*Výpočty!$H$58+O26)</f>
        <v>0</v>
      </c>
      <c r="Y26" s="49">
        <f t="shared" ref="Y26:Y27" si="12">W26-X26</f>
        <v>0</v>
      </c>
      <c r="Z26" s="595">
        <v>0</v>
      </c>
      <c r="AA26" s="49">
        <f>IF(Provozování!$I$16="Neaktivní",H26,H26*Výpočty!$H$58+Q26)</f>
        <v>0</v>
      </c>
      <c r="AB26" s="32">
        <f t="shared" ref="AB26:AB27" si="13">Z26-AA26</f>
        <v>0</v>
      </c>
      <c r="AC26" s="183"/>
      <c r="AD26" s="183"/>
    </row>
    <row r="27" spans="2:30" x14ac:dyDescent="0.25">
      <c r="B27" s="12" t="s">
        <v>29</v>
      </c>
      <c r="C27" s="13" t="s">
        <v>30</v>
      </c>
      <c r="D27" s="3" t="s">
        <v>10</v>
      </c>
      <c r="E27" s="49">
        <v>0</v>
      </c>
      <c r="F27" s="589">
        <f>IF(AND(DAY(Postup!$H$24)=1,MONTH(Postup!$H$24)=1),Provozování!E32,Provozování!G32)</f>
        <v>0</v>
      </c>
      <c r="G27" s="49">
        <v>0</v>
      </c>
      <c r="H27" s="590">
        <f>IF(AND(DAY(Postup!$H$24)=1,MONTH(Postup!$H$24)=1),Provozování!F32,Provozování!H32)</f>
        <v>0</v>
      </c>
      <c r="K27" s="12" t="s">
        <v>29</v>
      </c>
      <c r="L27" s="13" t="s">
        <v>30</v>
      </c>
      <c r="M27" s="3" t="s">
        <v>10</v>
      </c>
      <c r="N27" s="49">
        <v>0</v>
      </c>
      <c r="O27" s="589">
        <f>IF(Provozování!$I$16="Neaktivní",0,Provozování!I32)</f>
        <v>0</v>
      </c>
      <c r="P27" s="49">
        <v>0</v>
      </c>
      <c r="Q27" s="594">
        <f>IF(Provozování!$I$16="Neaktivní",0,Provozování!J32)</f>
        <v>0</v>
      </c>
      <c r="T27" s="12" t="s">
        <v>29</v>
      </c>
      <c r="U27" s="13" t="s">
        <v>30</v>
      </c>
      <c r="V27" s="3" t="s">
        <v>10</v>
      </c>
      <c r="W27" s="595">
        <v>0</v>
      </c>
      <c r="X27" s="49">
        <f>IF(Provozování!$I$16="Neaktivní",F27,F27*Výpočty!$H$58+O27)</f>
        <v>0</v>
      </c>
      <c r="Y27" s="49">
        <f t="shared" si="12"/>
        <v>0</v>
      </c>
      <c r="Z27" s="595">
        <v>0</v>
      </c>
      <c r="AA27" s="49">
        <f>IF(Provozování!$I$16="Neaktivní",H27,H27*Výpočty!$H$58+Q27)</f>
        <v>0</v>
      </c>
      <c r="AB27" s="32">
        <f t="shared" si="13"/>
        <v>0</v>
      </c>
      <c r="AC27" s="183"/>
      <c r="AD27" s="183"/>
    </row>
    <row r="28" spans="2:30" x14ac:dyDescent="0.25">
      <c r="B28" s="9" t="s">
        <v>31</v>
      </c>
      <c r="C28" s="10" t="s">
        <v>32</v>
      </c>
      <c r="D28" s="11" t="s">
        <v>10</v>
      </c>
      <c r="E28" s="46">
        <f>SUM(E29:E32)</f>
        <v>0</v>
      </c>
      <c r="F28" s="46">
        <f>SUM(F29:F32)</f>
        <v>0</v>
      </c>
      <c r="G28" s="46">
        <f>SUM(G29:G32)</f>
        <v>0</v>
      </c>
      <c r="H28" s="98">
        <f>SUM(H29:H32)</f>
        <v>0.14000000000000001</v>
      </c>
      <c r="K28" s="9" t="s">
        <v>31</v>
      </c>
      <c r="L28" s="10" t="s">
        <v>32</v>
      </c>
      <c r="M28" s="11" t="s">
        <v>10</v>
      </c>
      <c r="N28" s="46">
        <f>SUM(N29:N32)</f>
        <v>0</v>
      </c>
      <c r="O28" s="46">
        <f>SUM(O29:O32)</f>
        <v>0</v>
      </c>
      <c r="P28" s="46">
        <f>SUM(P29:P32)</f>
        <v>0</v>
      </c>
      <c r="Q28" s="98">
        <f>SUM(Q29:Q32)</f>
        <v>0</v>
      </c>
      <c r="T28" s="9" t="s">
        <v>31</v>
      </c>
      <c r="U28" s="10" t="s">
        <v>32</v>
      </c>
      <c r="V28" s="11" t="s">
        <v>10</v>
      </c>
      <c r="W28" s="98">
        <f t="shared" ref="W28:AB28" si="14">SUM(W29:W32)</f>
        <v>0</v>
      </c>
      <c r="X28" s="98">
        <f t="shared" si="14"/>
        <v>0</v>
      </c>
      <c r="Y28" s="98">
        <f t="shared" si="14"/>
        <v>0</v>
      </c>
      <c r="Z28" s="98">
        <f t="shared" si="14"/>
        <v>0</v>
      </c>
      <c r="AA28" s="98">
        <f t="shared" si="14"/>
        <v>0.14000000000000001</v>
      </c>
      <c r="AB28" s="98">
        <f t="shared" si="14"/>
        <v>-0.14000000000000001</v>
      </c>
      <c r="AC28" s="183"/>
      <c r="AD28" s="183"/>
    </row>
    <row r="29" spans="2:30" x14ac:dyDescent="0.25">
      <c r="B29" s="12" t="s">
        <v>33</v>
      </c>
      <c r="C29" s="21" t="s">
        <v>34</v>
      </c>
      <c r="D29" s="3" t="s">
        <v>10</v>
      </c>
      <c r="E29" s="49">
        <v>0</v>
      </c>
      <c r="F29" s="49">
        <f>IF(AND(DAY(Postup!$H$24)=1,MONTH(Postup!$H$24)=1),Provozování!E34,Provozování!G34)</f>
        <v>0</v>
      </c>
      <c r="G29" s="49">
        <v>0</v>
      </c>
      <c r="H29" s="32">
        <f>IF(AND(DAY(Postup!$H$24)=1,MONTH(Postup!$H$24)=1),Provozování!F34,Provozování!H34)</f>
        <v>0</v>
      </c>
      <c r="K29" s="12" t="s">
        <v>33</v>
      </c>
      <c r="L29" s="21" t="s">
        <v>34</v>
      </c>
      <c r="M29" s="3" t="s">
        <v>10</v>
      </c>
      <c r="N29" s="49">
        <v>0</v>
      </c>
      <c r="O29" s="49">
        <f>IF(Provozování!$I$16="Neaktivní",0,Provozování!I34)</f>
        <v>0</v>
      </c>
      <c r="P29" s="49">
        <v>0</v>
      </c>
      <c r="Q29" s="59">
        <f>IF(Provozování!$I$16="Neaktivní",0,Provozování!J34)</f>
        <v>0</v>
      </c>
      <c r="T29" s="12" t="s">
        <v>33</v>
      </c>
      <c r="U29" s="21" t="s">
        <v>34</v>
      </c>
      <c r="V29" s="3" t="s">
        <v>10</v>
      </c>
      <c r="W29" s="595">
        <v>0</v>
      </c>
      <c r="X29" s="49">
        <f>IF(Provozování!$I$16="Neaktivní",F29,F29*Výpočty!$H$58+O29)</f>
        <v>0</v>
      </c>
      <c r="Y29" s="49">
        <f t="shared" ref="Y29:Y31" si="15">W29-X29</f>
        <v>0</v>
      </c>
      <c r="Z29" s="595">
        <v>0</v>
      </c>
      <c r="AA29" s="49">
        <f>IF(Provozování!$I$16="Neaktivní",H29,H29*Výpočty!$H$58+Q29)</f>
        <v>0</v>
      </c>
      <c r="AB29" s="32">
        <f t="shared" ref="AB29:AB31" si="16">Z29-AA29</f>
        <v>0</v>
      </c>
      <c r="AC29" s="183"/>
      <c r="AD29" s="183"/>
    </row>
    <row r="30" spans="2:30" x14ac:dyDescent="0.25">
      <c r="B30" s="12" t="s">
        <v>35</v>
      </c>
      <c r="C30" s="13" t="s">
        <v>36</v>
      </c>
      <c r="D30" s="3" t="s">
        <v>10</v>
      </c>
      <c r="E30" s="49">
        <v>0</v>
      </c>
      <c r="F30" s="589">
        <f>IF(AND(DAY(Postup!$H$24)=1,MONTH(Postup!$H$24)=1),Provozování!E35,Provozování!G35)</f>
        <v>0</v>
      </c>
      <c r="G30" s="49">
        <v>0</v>
      </c>
      <c r="H30" s="590">
        <f>IF(AND(DAY(Postup!$H$24)=1,MONTH(Postup!$H$24)=1),Provozování!F35,Provozování!H35)</f>
        <v>0</v>
      </c>
      <c r="K30" s="12" t="s">
        <v>35</v>
      </c>
      <c r="L30" s="13" t="s">
        <v>36</v>
      </c>
      <c r="M30" s="3" t="s">
        <v>10</v>
      </c>
      <c r="N30" s="49">
        <v>0</v>
      </c>
      <c r="O30" s="589">
        <f>IF(Provozování!$I$16="Neaktivní",0,Provozování!I35)</f>
        <v>0</v>
      </c>
      <c r="P30" s="49">
        <v>0</v>
      </c>
      <c r="Q30" s="594">
        <f>IF(Provozování!$I$16="Neaktivní",0,Provozování!J35)</f>
        <v>0</v>
      </c>
      <c r="T30" s="12" t="s">
        <v>35</v>
      </c>
      <c r="U30" s="13" t="s">
        <v>36</v>
      </c>
      <c r="V30" s="3" t="s">
        <v>10</v>
      </c>
      <c r="W30" s="595">
        <v>0</v>
      </c>
      <c r="X30" s="49">
        <f>IF(Provozování!$I$16="Neaktivní",F30,F30*Výpočty!$H$58+O30)</f>
        <v>0</v>
      </c>
      <c r="Y30" s="49">
        <f t="shared" si="15"/>
        <v>0</v>
      </c>
      <c r="Z30" s="595">
        <v>0</v>
      </c>
      <c r="AA30" s="49">
        <f>IF(Provozování!$I$16="Neaktivní",H30,H30*Výpočty!$H$58+Q30)</f>
        <v>0</v>
      </c>
      <c r="AB30" s="32">
        <f t="shared" si="16"/>
        <v>0</v>
      </c>
      <c r="AC30" s="183"/>
      <c r="AD30" s="183"/>
    </row>
    <row r="31" spans="2:30" ht="15" customHeight="1" x14ac:dyDescent="0.25">
      <c r="B31" s="12" t="s">
        <v>37</v>
      </c>
      <c r="C31" s="13" t="s">
        <v>38</v>
      </c>
      <c r="D31" s="3" t="s">
        <v>10</v>
      </c>
      <c r="E31" s="49">
        <v>0</v>
      </c>
      <c r="F31" s="49">
        <f>IF(AND(DAY(Postup!$H$24)=1,MONTH(Postup!$H$24)=1),Provozování!E36,Provozování!G36)</f>
        <v>0</v>
      </c>
      <c r="G31" s="49">
        <v>0</v>
      </c>
      <c r="H31" s="32">
        <f>IF(AND(DAY(Postup!$H$24)=1,MONTH(Postup!$H$24)=1),Provozování!F36,Provozování!H36)</f>
        <v>0.14000000000000001</v>
      </c>
      <c r="K31" s="12" t="s">
        <v>37</v>
      </c>
      <c r="L31" s="13" t="s">
        <v>38</v>
      </c>
      <c r="M31" s="3" t="s">
        <v>10</v>
      </c>
      <c r="N31" s="49">
        <v>0</v>
      </c>
      <c r="O31" s="49">
        <f>IF(Provozování!$I$16="Neaktivní",0,Provozování!I36)</f>
        <v>0</v>
      </c>
      <c r="P31" s="49">
        <v>0</v>
      </c>
      <c r="Q31" s="59">
        <f>IF(Provozování!$I$16="Neaktivní",0,Provozování!J36)</f>
        <v>0</v>
      </c>
      <c r="T31" s="12" t="s">
        <v>37</v>
      </c>
      <c r="U31" s="13" t="s">
        <v>38</v>
      </c>
      <c r="V31" s="3" t="s">
        <v>10</v>
      </c>
      <c r="W31" s="595">
        <v>0</v>
      </c>
      <c r="X31" s="49">
        <f>IF(Provozování!$I$16="Neaktivní",F31,F31*Výpočty!$H$58+O31)</f>
        <v>0</v>
      </c>
      <c r="Y31" s="49">
        <f t="shared" si="15"/>
        <v>0</v>
      </c>
      <c r="Z31" s="595">
        <v>0</v>
      </c>
      <c r="AA31" s="49">
        <f>IF(Provozování!$I$16="Neaktivní",H31,H31*Výpočty!$H$58+Q31)</f>
        <v>0.14000000000000001</v>
      </c>
      <c r="AB31" s="32">
        <f t="shared" si="16"/>
        <v>-0.14000000000000001</v>
      </c>
      <c r="AC31" s="183"/>
      <c r="AD31" s="183"/>
    </row>
    <row r="32" spans="2:30" ht="15" customHeight="1" x14ac:dyDescent="0.25">
      <c r="B32" s="12" t="s">
        <v>39</v>
      </c>
      <c r="C32" s="21" t="s">
        <v>40</v>
      </c>
      <c r="D32" s="3" t="s">
        <v>10</v>
      </c>
      <c r="E32" s="49">
        <v>0</v>
      </c>
      <c r="F32" s="445">
        <v>0</v>
      </c>
      <c r="G32" s="49">
        <v>0</v>
      </c>
      <c r="H32" s="442">
        <v>0</v>
      </c>
      <c r="K32" s="12" t="s">
        <v>39</v>
      </c>
      <c r="L32" s="21" t="s">
        <v>40</v>
      </c>
      <c r="M32" s="3" t="s">
        <v>10</v>
      </c>
      <c r="N32" s="49">
        <v>0</v>
      </c>
      <c r="O32" s="445">
        <v>0</v>
      </c>
      <c r="P32" s="49">
        <v>0</v>
      </c>
      <c r="Q32" s="442">
        <v>0</v>
      </c>
      <c r="T32" s="12" t="s">
        <v>39</v>
      </c>
      <c r="U32" s="21" t="s">
        <v>40</v>
      </c>
      <c r="V32" s="3" t="s">
        <v>10</v>
      </c>
      <c r="W32" s="445">
        <v>0</v>
      </c>
      <c r="X32" s="445">
        <v>0</v>
      </c>
      <c r="Y32" s="445">
        <v>0</v>
      </c>
      <c r="Z32" s="445">
        <v>0</v>
      </c>
      <c r="AA32" s="445">
        <v>0</v>
      </c>
      <c r="AB32" s="442">
        <v>0</v>
      </c>
      <c r="AC32" s="183"/>
      <c r="AD32" s="183"/>
    </row>
    <row r="33" spans="2:34" ht="18" customHeight="1" x14ac:dyDescent="0.25">
      <c r="B33" s="9" t="s">
        <v>41</v>
      </c>
      <c r="C33" s="10" t="s">
        <v>42</v>
      </c>
      <c r="D33" s="11" t="s">
        <v>10</v>
      </c>
      <c r="E33" s="46">
        <f>SUM(E34:E36)</f>
        <v>0</v>
      </c>
      <c r="F33" s="46">
        <f>SUM(F34:F36)</f>
        <v>0</v>
      </c>
      <c r="G33" s="46">
        <f>SUM(G34:G36)</f>
        <v>0</v>
      </c>
      <c r="H33" s="98">
        <f>SUM(H34:H36)</f>
        <v>0</v>
      </c>
      <c r="K33" s="9" t="s">
        <v>41</v>
      </c>
      <c r="L33" s="10" t="s">
        <v>42</v>
      </c>
      <c r="M33" s="11" t="s">
        <v>10</v>
      </c>
      <c r="N33" s="46">
        <f>SUM(N34:N36)</f>
        <v>0</v>
      </c>
      <c r="O33" s="46">
        <f>SUM(O34:O36)</f>
        <v>0</v>
      </c>
      <c r="P33" s="46">
        <f>SUM(P34:P36)</f>
        <v>0</v>
      </c>
      <c r="Q33" s="98">
        <f>SUM(Q34:Q36)</f>
        <v>0</v>
      </c>
      <c r="T33" s="9" t="s">
        <v>41</v>
      </c>
      <c r="U33" s="10" t="s">
        <v>42</v>
      </c>
      <c r="V33" s="11" t="s">
        <v>10</v>
      </c>
      <c r="W33" s="98">
        <f t="shared" ref="W33:AB33" si="17">SUM(W34:W36)</f>
        <v>0</v>
      </c>
      <c r="X33" s="98">
        <f t="shared" si="17"/>
        <v>0</v>
      </c>
      <c r="Y33" s="98">
        <f t="shared" si="17"/>
        <v>0</v>
      </c>
      <c r="Z33" s="98">
        <f t="shared" si="17"/>
        <v>0</v>
      </c>
      <c r="AA33" s="98">
        <f t="shared" si="17"/>
        <v>0</v>
      </c>
      <c r="AB33" s="98">
        <f t="shared" si="17"/>
        <v>0</v>
      </c>
      <c r="AC33" s="183"/>
      <c r="AD33" s="183"/>
    </row>
    <row r="34" spans="2:34" ht="15" customHeight="1" x14ac:dyDescent="0.25">
      <c r="B34" s="12" t="s">
        <v>43</v>
      </c>
      <c r="C34" s="13" t="s">
        <v>44</v>
      </c>
      <c r="D34" s="3" t="s">
        <v>10</v>
      </c>
      <c r="E34" s="49">
        <v>0</v>
      </c>
      <c r="F34" s="445">
        <v>0</v>
      </c>
      <c r="G34" s="49">
        <v>0</v>
      </c>
      <c r="H34" s="32">
        <f>IF(AND(DAY(Postup!$H$24)=1,MONTH(Postup!$H$24)=1),Provozování!F39,Provozování!H39)</f>
        <v>0</v>
      </c>
      <c r="K34" s="12" t="s">
        <v>43</v>
      </c>
      <c r="L34" s="13" t="s">
        <v>44</v>
      </c>
      <c r="M34" s="3" t="s">
        <v>10</v>
      </c>
      <c r="N34" s="49">
        <v>0</v>
      </c>
      <c r="O34" s="445">
        <v>0</v>
      </c>
      <c r="P34" s="49">
        <v>0</v>
      </c>
      <c r="Q34" s="59">
        <f>IF(Provozování!$I$16="Neaktivní",0,Provozování!J39)</f>
        <v>0</v>
      </c>
      <c r="T34" s="12" t="s">
        <v>43</v>
      </c>
      <c r="U34" s="13" t="s">
        <v>44</v>
      </c>
      <c r="V34" s="3" t="s">
        <v>10</v>
      </c>
      <c r="W34" s="445">
        <v>0</v>
      </c>
      <c r="X34" s="445">
        <v>0</v>
      </c>
      <c r="Y34" s="445">
        <v>0</v>
      </c>
      <c r="Z34" s="595">
        <v>0</v>
      </c>
      <c r="AA34" s="49">
        <f>IF(Provozování!$I$16="Neaktivní",H34,H34*Výpočty!$H$58+Q34)</f>
        <v>0</v>
      </c>
      <c r="AB34" s="32">
        <f t="shared" ref="AB34:AB40" si="18">Z34-AA34</f>
        <v>0</v>
      </c>
      <c r="AC34" s="183"/>
      <c r="AD34" s="183"/>
      <c r="AE34" s="951" t="s">
        <v>362</v>
      </c>
      <c r="AF34" s="952"/>
      <c r="AG34" s="447">
        <f>Y14</f>
        <v>2020</v>
      </c>
      <c r="AH34" s="447">
        <f>AG34</f>
        <v>2020</v>
      </c>
    </row>
    <row r="35" spans="2:34" x14ac:dyDescent="0.25">
      <c r="B35" s="12" t="s">
        <v>45</v>
      </c>
      <c r="C35" s="12" t="s">
        <v>46</v>
      </c>
      <c r="D35" s="3" t="s">
        <v>10</v>
      </c>
      <c r="E35" s="49">
        <v>0</v>
      </c>
      <c r="F35" s="589">
        <f>IF(AND(DAY(Postup!$H$24)=1,MONTH(Postup!$H$24)=1),Provozování!E40,Provozování!G40)</f>
        <v>0</v>
      </c>
      <c r="G35" s="49">
        <v>0</v>
      </c>
      <c r="H35" s="590">
        <f>IF(AND(DAY(Postup!$H$24)=1,MONTH(Postup!$H$24)=1),Provozování!F40,Provozování!H40)</f>
        <v>0</v>
      </c>
      <c r="K35" s="12" t="s">
        <v>45</v>
      </c>
      <c r="L35" s="12" t="s">
        <v>46</v>
      </c>
      <c r="M35" s="3" t="s">
        <v>10</v>
      </c>
      <c r="N35" s="49">
        <v>0</v>
      </c>
      <c r="O35" s="589">
        <f>IF(Provozování!$I$16="Neaktivní",0,Provozování!I40)</f>
        <v>0</v>
      </c>
      <c r="P35" s="49">
        <v>0</v>
      </c>
      <c r="Q35" s="594">
        <f>IF(Provozování!$I$16="Neaktivní",0,Provozování!J40)</f>
        <v>0</v>
      </c>
      <c r="T35" s="12" t="s">
        <v>45</v>
      </c>
      <c r="U35" s="12" t="s">
        <v>46</v>
      </c>
      <c r="V35" s="3" t="s">
        <v>10</v>
      </c>
      <c r="W35" s="595">
        <v>0</v>
      </c>
      <c r="X35" s="49">
        <f>IF(Provozování!$I$16="Neaktivní",F35,F35*Výpočty!$H$58+O35)</f>
        <v>0</v>
      </c>
      <c r="Y35" s="49">
        <f t="shared" ref="Y35:Y40" si="19">W35-X35</f>
        <v>0</v>
      </c>
      <c r="Z35" s="595">
        <v>0</v>
      </c>
      <c r="AA35" s="49">
        <f>IF(Provozování!$I$16="Neaktivní",H35,H35*Výpočty!$H$58+Q35)</f>
        <v>0</v>
      </c>
      <c r="AB35" s="32">
        <f t="shared" si="18"/>
        <v>0</v>
      </c>
      <c r="AC35" s="183"/>
      <c r="AD35" s="183"/>
      <c r="AE35" s="953"/>
      <c r="AF35" s="954"/>
      <c r="AG35" s="957" t="s">
        <v>299</v>
      </c>
      <c r="AH35" s="957" t="s">
        <v>300</v>
      </c>
    </row>
    <row r="36" spans="2:34" x14ac:dyDescent="0.25">
      <c r="B36" s="12" t="s">
        <v>47</v>
      </c>
      <c r="C36" s="13" t="s">
        <v>48</v>
      </c>
      <c r="D36" s="3" t="s">
        <v>10</v>
      </c>
      <c r="E36" s="49">
        <v>0</v>
      </c>
      <c r="F36" s="589">
        <f>IF(AND(DAY(Postup!$H$24)=1,MONTH(Postup!$H$24)=1),Provozování!E41,Provozování!G41)</f>
        <v>0</v>
      </c>
      <c r="G36" s="49">
        <v>0</v>
      </c>
      <c r="H36" s="590">
        <f>IF(AND(DAY(Postup!$H$24)=1,MONTH(Postup!$H$24)=1),Provozování!F41,Provozování!H41)</f>
        <v>0</v>
      </c>
      <c r="K36" s="12" t="s">
        <v>47</v>
      </c>
      <c r="L36" s="13" t="s">
        <v>48</v>
      </c>
      <c r="M36" s="3" t="s">
        <v>10</v>
      </c>
      <c r="N36" s="49">
        <v>0</v>
      </c>
      <c r="O36" s="589">
        <f>IF(Provozování!$I$16="Neaktivní",0,Provozování!I41)</f>
        <v>0</v>
      </c>
      <c r="P36" s="49">
        <v>0</v>
      </c>
      <c r="Q36" s="594">
        <f>IF(Provozování!$I$16="Neaktivní",0,Provozování!J41)</f>
        <v>0</v>
      </c>
      <c r="T36" s="12" t="s">
        <v>47</v>
      </c>
      <c r="U36" s="13" t="s">
        <v>48</v>
      </c>
      <c r="V36" s="3" t="s">
        <v>10</v>
      </c>
      <c r="W36" s="595">
        <v>0</v>
      </c>
      <c r="X36" s="49">
        <f>IF(Provozování!$I$16="Neaktivní",F36,F36*Výpočty!$H$58+O36)</f>
        <v>0</v>
      </c>
      <c r="Y36" s="49">
        <f t="shared" si="19"/>
        <v>0</v>
      </c>
      <c r="Z36" s="595">
        <v>0</v>
      </c>
      <c r="AA36" s="49">
        <f>IF(Provozování!$I$16="Neaktivní",H36,H36*Výpočty!$H$58+Q36)</f>
        <v>0</v>
      </c>
      <c r="AB36" s="32">
        <f t="shared" si="18"/>
        <v>0</v>
      </c>
      <c r="AC36" s="183"/>
      <c r="AD36" s="183"/>
      <c r="AE36" s="955"/>
      <c r="AF36" s="956"/>
      <c r="AG36" s="958"/>
      <c r="AH36" s="958"/>
    </row>
    <row r="37" spans="2:34" x14ac:dyDescent="0.25">
      <c r="B37" s="9" t="s">
        <v>49</v>
      </c>
      <c r="C37" s="10" t="s">
        <v>50</v>
      </c>
      <c r="D37" s="11" t="s">
        <v>10</v>
      </c>
      <c r="E37" s="49">
        <v>0</v>
      </c>
      <c r="F37" s="589">
        <f>IF(AND(DAY(Postup!$H$24)=1,MONTH(Postup!$H$24)=1),Provozování!E42,Provozování!G42)</f>
        <v>0</v>
      </c>
      <c r="G37" s="49">
        <v>0</v>
      </c>
      <c r="H37" s="590">
        <f>IF(AND(DAY(Postup!$H$24)=1,MONTH(Postup!$H$24)=1),Provozování!F42,Provozování!H42)</f>
        <v>0</v>
      </c>
      <c r="K37" s="9" t="s">
        <v>49</v>
      </c>
      <c r="L37" s="10" t="s">
        <v>50</v>
      </c>
      <c r="M37" s="11" t="s">
        <v>10</v>
      </c>
      <c r="N37" s="49">
        <v>0</v>
      </c>
      <c r="O37" s="589">
        <f>IF(Provozování!$I$16="Neaktivní",0,Provozování!I42)</f>
        <v>0</v>
      </c>
      <c r="P37" s="49">
        <v>0</v>
      </c>
      <c r="Q37" s="594">
        <f>IF(Provozování!$I$16="Neaktivní",0,Provozování!J42)</f>
        <v>0</v>
      </c>
      <c r="T37" s="9" t="s">
        <v>49</v>
      </c>
      <c r="U37" s="10" t="s">
        <v>50</v>
      </c>
      <c r="V37" s="11" t="s">
        <v>10</v>
      </c>
      <c r="W37" s="595">
        <v>0</v>
      </c>
      <c r="X37" s="49">
        <f>IF(Provozování!$I$16="Neaktivní",F37,F37*Výpočty!$H$58+O37)</f>
        <v>0</v>
      </c>
      <c r="Y37" s="49">
        <f t="shared" si="19"/>
        <v>0</v>
      </c>
      <c r="Z37" s="595">
        <v>0</v>
      </c>
      <c r="AA37" s="49">
        <f>IF(Provozování!$I$16="Neaktivní",H37,H37*Výpočty!$H$58+Q37)</f>
        <v>0</v>
      </c>
      <c r="AB37" s="32">
        <f t="shared" si="18"/>
        <v>0</v>
      </c>
      <c r="AC37" s="183"/>
      <c r="AD37" s="183"/>
      <c r="AE37" s="12" t="s">
        <v>405</v>
      </c>
      <c r="AF37" s="12" t="s">
        <v>408</v>
      </c>
      <c r="AG37" s="542">
        <f>Z65</f>
        <v>0</v>
      </c>
      <c r="AH37" s="542">
        <f ca="1">AB65</f>
        <v>31.268475300564855</v>
      </c>
    </row>
    <row r="38" spans="2:34" x14ac:dyDescent="0.25">
      <c r="B38" s="9" t="s">
        <v>51</v>
      </c>
      <c r="C38" s="10" t="s">
        <v>52</v>
      </c>
      <c r="D38" s="11" t="s">
        <v>10</v>
      </c>
      <c r="E38" s="49">
        <v>0</v>
      </c>
      <c r="F38" s="589">
        <f>IF(AND(DAY(Postup!$H$24)=1,MONTH(Postup!$H$24)=1),Provozování!E43-Provozování!E$97,Provozování!G43-Provozování!E$97)</f>
        <v>0</v>
      </c>
      <c r="G38" s="49">
        <v>0</v>
      </c>
      <c r="H38" s="590">
        <f>IF(AND(DAY(Postup!$H$24)=1,MONTH(Postup!$H$24)=1),Provozování!F43-Provozování!F$97,Provozování!H43-Provozování!F$97)</f>
        <v>0</v>
      </c>
      <c r="K38" s="9" t="s">
        <v>51</v>
      </c>
      <c r="L38" s="10" t="s">
        <v>52</v>
      </c>
      <c r="M38" s="11" t="s">
        <v>10</v>
      </c>
      <c r="N38" s="49">
        <v>0</v>
      </c>
      <c r="O38" s="589">
        <f>IF(Provozování!$I$16="Neaktivní",0,Provozování!I43-Provozování!E$97*Výpočty!H53)</f>
        <v>0</v>
      </c>
      <c r="P38" s="49">
        <v>0</v>
      </c>
      <c r="Q38" s="594">
        <f>IF(Provozování!$I$16="Neaktivní",0,Provozování!J43-Provozování!F$97*Výpočty!H53)</f>
        <v>0</v>
      </c>
      <c r="T38" s="9" t="s">
        <v>51</v>
      </c>
      <c r="U38" s="10" t="s">
        <v>52</v>
      </c>
      <c r="V38" s="11" t="s">
        <v>10</v>
      </c>
      <c r="W38" s="595">
        <v>0</v>
      </c>
      <c r="X38" s="49">
        <f>IF(Provozování!$I$16="Neaktivní",F38,F38*Výpočty!$H$58+O38)</f>
        <v>0</v>
      </c>
      <c r="Y38" s="49">
        <f>ABS(W38)-ABS(X38)</f>
        <v>0</v>
      </c>
      <c r="Z38" s="595">
        <v>0</v>
      </c>
      <c r="AA38" s="49">
        <f>IF(Provozování!$I$16="Neaktivní",H38,H38*Výpočty!$H$58+Q38)</f>
        <v>0</v>
      </c>
      <c r="AB38" s="32">
        <f>ABS(Z38)-ABS(AA38)</f>
        <v>0</v>
      </c>
      <c r="AC38" s="183"/>
      <c r="AD38" s="183"/>
      <c r="AE38" s="12" t="s">
        <v>406</v>
      </c>
      <c r="AF38" s="13" t="s">
        <v>410</v>
      </c>
      <c r="AG38" s="360">
        <f>Y64</f>
        <v>0</v>
      </c>
      <c r="AH38" s="360">
        <f>AA64</f>
        <v>0</v>
      </c>
    </row>
    <row r="39" spans="2:34" x14ac:dyDescent="0.25">
      <c r="B39" s="9" t="s">
        <v>53</v>
      </c>
      <c r="C39" s="10" t="s">
        <v>54</v>
      </c>
      <c r="D39" s="11" t="s">
        <v>10</v>
      </c>
      <c r="E39" s="49">
        <v>0</v>
      </c>
      <c r="F39" s="589">
        <f>IF(AND(DAY(Postup!$H$24)=1,MONTH(Postup!$H$24)=1),Provozování!E44,Provozování!G44)</f>
        <v>0</v>
      </c>
      <c r="G39" s="49">
        <v>0</v>
      </c>
      <c r="H39" s="590">
        <f>IF(AND(DAY(Postup!$H$24)=1,MONTH(Postup!$H$24)=1),Provozování!F44,Provozování!H44)</f>
        <v>0</v>
      </c>
      <c r="K39" s="9" t="s">
        <v>53</v>
      </c>
      <c r="L39" s="10" t="s">
        <v>54</v>
      </c>
      <c r="M39" s="11" t="s">
        <v>10</v>
      </c>
      <c r="N39" s="49">
        <v>0</v>
      </c>
      <c r="O39" s="589">
        <f>IF(Provozování!$I$16="Neaktivní",0,Provozování!I44)</f>
        <v>0</v>
      </c>
      <c r="P39" s="49">
        <v>0</v>
      </c>
      <c r="Q39" s="594">
        <f>IF(Provozování!$I$16="Neaktivní",0,Provozování!J44)</f>
        <v>0</v>
      </c>
      <c r="T39" s="9" t="s">
        <v>53</v>
      </c>
      <c r="U39" s="10" t="s">
        <v>54</v>
      </c>
      <c r="V39" s="11" t="s">
        <v>10</v>
      </c>
      <c r="W39" s="595">
        <v>0</v>
      </c>
      <c r="X39" s="49">
        <f>IF(Provozování!$I$16="Neaktivní",F39,F39*Výpočty!$H$58+O39)</f>
        <v>0</v>
      </c>
      <c r="Y39" s="49">
        <f t="shared" si="19"/>
        <v>0</v>
      </c>
      <c r="Z39" s="595">
        <v>0</v>
      </c>
      <c r="AA39" s="49">
        <f>IF(Provozování!$I$16="Neaktivní",H39,H39*Výpočty!$H$58+Q39)</f>
        <v>0</v>
      </c>
      <c r="AB39" s="32">
        <f t="shared" si="18"/>
        <v>0</v>
      </c>
      <c r="AC39" s="183"/>
      <c r="AD39" s="183"/>
      <c r="AE39" s="12" t="s">
        <v>407</v>
      </c>
      <c r="AF39" s="13" t="s">
        <v>409</v>
      </c>
      <c r="AG39" s="360">
        <f>Z64</f>
        <v>0</v>
      </c>
      <c r="AH39" s="360">
        <f>AB64</f>
        <v>1.4E-2</v>
      </c>
    </row>
    <row r="40" spans="2:34" x14ac:dyDescent="0.25">
      <c r="B40" s="9" t="s">
        <v>55</v>
      </c>
      <c r="C40" s="10" t="s">
        <v>56</v>
      </c>
      <c r="D40" s="11" t="s">
        <v>10</v>
      </c>
      <c r="E40" s="49">
        <v>0</v>
      </c>
      <c r="F40" s="589">
        <f>IF(AND(DAY(Postup!$H$24)=1,MONTH(Postup!$H$24)=1),Provozování!E45,Provozování!G45)</f>
        <v>0</v>
      </c>
      <c r="G40" s="49">
        <v>0</v>
      </c>
      <c r="H40" s="590">
        <f>IF(AND(DAY(Postup!$H$24)=1,MONTH(Postup!$H$24)=1),Provozování!F45,Provozování!H45)</f>
        <v>0</v>
      </c>
      <c r="K40" s="9" t="s">
        <v>55</v>
      </c>
      <c r="L40" s="10" t="s">
        <v>56</v>
      </c>
      <c r="M40" s="11" t="s">
        <v>10</v>
      </c>
      <c r="N40" s="49">
        <v>0</v>
      </c>
      <c r="O40" s="589">
        <f>IF(Provozování!$I$16="Neaktivní",0,Provozování!I45)</f>
        <v>0</v>
      </c>
      <c r="P40" s="49">
        <v>0</v>
      </c>
      <c r="Q40" s="594">
        <f>IF(Provozování!$I$16="Neaktivní",0,Provozování!J45)</f>
        <v>0</v>
      </c>
      <c r="T40" s="9" t="s">
        <v>55</v>
      </c>
      <c r="U40" s="10" t="s">
        <v>56</v>
      </c>
      <c r="V40" s="11" t="s">
        <v>10</v>
      </c>
      <c r="W40" s="595">
        <v>0</v>
      </c>
      <c r="X40" s="49">
        <f>IF(Provozování!$I$16="Neaktivní",F40,F40*Výpočty!$H$58+O40)</f>
        <v>0</v>
      </c>
      <c r="Y40" s="49">
        <f t="shared" si="19"/>
        <v>0</v>
      </c>
      <c r="Z40" s="595">
        <v>0</v>
      </c>
      <c r="AA40" s="49">
        <f>IF(Provozování!$I$16="Neaktivní",H40,H40*Výpočty!$H$58+Q40)</f>
        <v>0</v>
      </c>
      <c r="AB40" s="32">
        <f t="shared" si="18"/>
        <v>0</v>
      </c>
      <c r="AC40" s="183"/>
      <c r="AD40" s="183"/>
      <c r="AE40" s="12" t="s">
        <v>411</v>
      </c>
      <c r="AF40" s="12" t="s">
        <v>419</v>
      </c>
      <c r="AG40" s="360">
        <f>X41-X31</f>
        <v>0</v>
      </c>
      <c r="AH40" s="360">
        <f>AA41-AA31</f>
        <v>0.28999999999999998</v>
      </c>
    </row>
    <row r="41" spans="2:34" x14ac:dyDescent="0.25">
      <c r="B41" s="9" t="s">
        <v>57</v>
      </c>
      <c r="C41" s="10" t="s">
        <v>58</v>
      </c>
      <c r="D41" s="11" t="s">
        <v>10</v>
      </c>
      <c r="E41" s="46">
        <f>E17+E22+E25+E28+E33+E37+E38+E39+E40</f>
        <v>0</v>
      </c>
      <c r="F41" s="46">
        <f>F17+F22+F25+F28+F33+F37+F38+F39+F40</f>
        <v>0</v>
      </c>
      <c r="G41" s="46">
        <f>G17+G22+G25+G28+G33+G37+G38+G39+G40</f>
        <v>0</v>
      </c>
      <c r="H41" s="98">
        <f>H17+H22+H25+H28+H33+H37+H38+H39+H40</f>
        <v>0.43</v>
      </c>
      <c r="K41" s="9" t="s">
        <v>57</v>
      </c>
      <c r="L41" s="10" t="s">
        <v>58</v>
      </c>
      <c r="M41" s="11" t="s">
        <v>10</v>
      </c>
      <c r="N41" s="46">
        <f>N17+N22+N25+N28+N33+N37+N38+N39+N40</f>
        <v>0</v>
      </c>
      <c r="O41" s="46">
        <f>O17+O22+O25+O28+O33+O37+O38+O39+O40</f>
        <v>0</v>
      </c>
      <c r="P41" s="46">
        <f>P17+P22+P25+P28+P33+P37+P38+P39+P40</f>
        <v>0</v>
      </c>
      <c r="Q41" s="98">
        <f>Q17+Q22+Q25+Q28+Q33+Q37+Q38+Q39+Q40</f>
        <v>0</v>
      </c>
      <c r="T41" s="9" t="s">
        <v>57</v>
      </c>
      <c r="U41" s="10" t="s">
        <v>58</v>
      </c>
      <c r="V41" s="11" t="s">
        <v>10</v>
      </c>
      <c r="W41" s="46">
        <f t="shared" ref="W41:AB41" si="20">W17+W22+W25+W28+W33+W37+W38+W39+W40</f>
        <v>0</v>
      </c>
      <c r="X41" s="46">
        <f t="shared" si="20"/>
        <v>0</v>
      </c>
      <c r="Y41" s="46">
        <f t="shared" si="20"/>
        <v>0</v>
      </c>
      <c r="Z41" s="46">
        <f t="shared" si="20"/>
        <v>0</v>
      </c>
      <c r="AA41" s="46">
        <f t="shared" si="20"/>
        <v>0.43</v>
      </c>
      <c r="AB41" s="98">
        <f t="shared" si="20"/>
        <v>-0.43</v>
      </c>
      <c r="AC41" s="183"/>
      <c r="AD41" s="183"/>
      <c r="AE41" s="12" t="s">
        <v>412</v>
      </c>
      <c r="AF41" s="12" t="s">
        <v>418</v>
      </c>
      <c r="AG41" s="360">
        <f>W41-W31</f>
        <v>0</v>
      </c>
      <c r="AH41" s="360">
        <f>Z41-Z31</f>
        <v>0</v>
      </c>
    </row>
    <row r="42" spans="2:34" x14ac:dyDescent="0.25">
      <c r="B42" s="12" t="s">
        <v>59</v>
      </c>
      <c r="C42" s="13" t="s">
        <v>112</v>
      </c>
      <c r="D42" s="3" t="s">
        <v>10</v>
      </c>
      <c r="E42" s="437">
        <v>0</v>
      </c>
      <c r="F42" s="591">
        <v>0</v>
      </c>
      <c r="G42" s="437">
        <v>0</v>
      </c>
      <c r="H42" s="593">
        <v>0</v>
      </c>
      <c r="K42" s="12" t="s">
        <v>59</v>
      </c>
      <c r="L42" s="13" t="s">
        <v>112</v>
      </c>
      <c r="M42" s="3" t="s">
        <v>10</v>
      </c>
      <c r="N42" s="437">
        <v>0</v>
      </c>
      <c r="O42" s="437">
        <f>IF(Provozování!$I$16="Neaktivní",0,F42)</f>
        <v>0</v>
      </c>
      <c r="P42" s="437">
        <v>0</v>
      </c>
      <c r="Q42" s="438">
        <f>IF(Provozování!$I$16="Neaktivní",0,H42)</f>
        <v>0</v>
      </c>
      <c r="T42" s="12" t="s">
        <v>59</v>
      </c>
      <c r="U42" s="13" t="s">
        <v>112</v>
      </c>
      <c r="V42" s="3" t="s">
        <v>10</v>
      </c>
      <c r="W42" s="591">
        <v>0</v>
      </c>
      <c r="X42" s="437">
        <f>F42</f>
        <v>0</v>
      </c>
      <c r="Y42" s="437">
        <f>W42-X42</f>
        <v>0</v>
      </c>
      <c r="Z42" s="591">
        <v>0</v>
      </c>
      <c r="AA42" s="437">
        <f>H42</f>
        <v>0</v>
      </c>
      <c r="AB42" s="438">
        <f>Z42-AA42</f>
        <v>0</v>
      </c>
      <c r="AC42" s="183"/>
      <c r="AD42" s="183"/>
      <c r="AE42" s="12" t="s">
        <v>430</v>
      </c>
      <c r="AF42" s="12" t="s">
        <v>431</v>
      </c>
      <c r="AG42" s="360">
        <f>Provozování!E$97</f>
        <v>0</v>
      </c>
      <c r="AH42" s="360">
        <f>Provozování!F$97</f>
        <v>0</v>
      </c>
    </row>
    <row r="43" spans="2:34" x14ac:dyDescent="0.25">
      <c r="B43" s="12" t="s">
        <v>60</v>
      </c>
      <c r="C43" s="13" t="s">
        <v>113</v>
      </c>
      <c r="D43" s="3" t="s">
        <v>10</v>
      </c>
      <c r="E43" s="437">
        <v>0</v>
      </c>
      <c r="F43" s="591">
        <v>0</v>
      </c>
      <c r="G43" s="437">
        <v>0</v>
      </c>
      <c r="H43" s="593">
        <v>0</v>
      </c>
      <c r="K43" s="12" t="s">
        <v>60</v>
      </c>
      <c r="L43" s="13" t="s">
        <v>113</v>
      </c>
      <c r="M43" s="3" t="s">
        <v>10</v>
      </c>
      <c r="N43" s="437">
        <v>0</v>
      </c>
      <c r="O43" s="437">
        <f>IF(Provozování!$I$16="Neaktivní",0,F43)</f>
        <v>0</v>
      </c>
      <c r="P43" s="437">
        <v>0</v>
      </c>
      <c r="Q43" s="438">
        <f>IF(Provozování!$I$16="Neaktivní",0,H43)</f>
        <v>0</v>
      </c>
      <c r="T43" s="12" t="s">
        <v>60</v>
      </c>
      <c r="U43" s="13" t="s">
        <v>113</v>
      </c>
      <c r="V43" s="3" t="s">
        <v>10</v>
      </c>
      <c r="W43" s="591">
        <v>0</v>
      </c>
      <c r="X43" s="437">
        <f>F43</f>
        <v>0</v>
      </c>
      <c r="Y43" s="437">
        <f>W43-X43</f>
        <v>0</v>
      </c>
      <c r="Z43" s="591">
        <v>0</v>
      </c>
      <c r="AA43" s="437">
        <f>H43</f>
        <v>0</v>
      </c>
      <c r="AB43" s="438">
        <f>Z43-AA43</f>
        <v>0</v>
      </c>
      <c r="AC43" s="183"/>
      <c r="AD43" s="183"/>
      <c r="AE43" s="554" t="s">
        <v>434</v>
      </c>
      <c r="AF43" s="555"/>
      <c r="AG43" s="959">
        <f>(AG37*AG38-AG37*AG39)+(AG40-AG41)-AG42</f>
        <v>0</v>
      </c>
      <c r="AH43" s="959">
        <f ca="1">(AH37*AH38-AH37*AH39)+(AH40-AH41)-AH42</f>
        <v>-0.14775865420790801</v>
      </c>
    </row>
    <row r="44" spans="2:34" ht="15" customHeight="1" x14ac:dyDescent="0.25">
      <c r="B44" s="12" t="s">
        <v>61</v>
      </c>
      <c r="C44" s="13" t="s">
        <v>62</v>
      </c>
      <c r="D44" s="3" t="s">
        <v>63</v>
      </c>
      <c r="E44" s="439">
        <v>0</v>
      </c>
      <c r="F44" s="592">
        <v>0</v>
      </c>
      <c r="G44" s="439">
        <v>0</v>
      </c>
      <c r="H44" s="592">
        <v>0</v>
      </c>
      <c r="K44" s="12" t="s">
        <v>61</v>
      </c>
      <c r="L44" s="13" t="s">
        <v>62</v>
      </c>
      <c r="M44" s="3" t="s">
        <v>63</v>
      </c>
      <c r="N44" s="439">
        <v>0</v>
      </c>
      <c r="O44" s="467">
        <f>IF(Provozování!$I$16="Neaktivní",0,F44)</f>
        <v>0</v>
      </c>
      <c r="P44" s="439">
        <v>0</v>
      </c>
      <c r="Q44" s="468">
        <f>IF(Provozování!$I$16="Neaktivní",0,H44)</f>
        <v>0</v>
      </c>
      <c r="T44" s="12" t="s">
        <v>61</v>
      </c>
      <c r="U44" s="13" t="s">
        <v>62</v>
      </c>
      <c r="V44" s="3" t="s">
        <v>63</v>
      </c>
      <c r="W44" s="599">
        <v>0</v>
      </c>
      <c r="X44" s="439">
        <f>F44</f>
        <v>0</v>
      </c>
      <c r="Y44" s="440">
        <f>W44-X44</f>
        <v>0</v>
      </c>
      <c r="Z44" s="599">
        <v>0</v>
      </c>
      <c r="AA44" s="439">
        <f>H44</f>
        <v>0</v>
      </c>
      <c r="AB44" s="440">
        <f>Z44-AA44</f>
        <v>0</v>
      </c>
      <c r="AC44" s="183"/>
      <c r="AD44" s="183"/>
      <c r="AE44" s="544" t="s">
        <v>432</v>
      </c>
      <c r="AF44" s="543"/>
      <c r="AG44" s="960"/>
      <c r="AH44" s="960"/>
    </row>
    <row r="45" spans="2:34" x14ac:dyDescent="0.25">
      <c r="B45" s="12" t="s">
        <v>64</v>
      </c>
      <c r="C45" s="13" t="s">
        <v>65</v>
      </c>
      <c r="D45" s="3" t="s">
        <v>66</v>
      </c>
      <c r="E45" s="49">
        <v>0</v>
      </c>
      <c r="F45" s="49">
        <f>IF(AND(DAY(Postup!$H$24)=1,MONTH(Postup!$H$24)=1),Provozování!E47,Provozování!G47)</f>
        <v>0</v>
      </c>
      <c r="G45" s="49">
        <v>0</v>
      </c>
      <c r="H45" s="442">
        <v>0</v>
      </c>
      <c r="K45" s="12" t="s">
        <v>64</v>
      </c>
      <c r="L45" s="13" t="s">
        <v>65</v>
      </c>
      <c r="M45" s="3" t="s">
        <v>66</v>
      </c>
      <c r="N45" s="49">
        <v>0</v>
      </c>
      <c r="O45" s="49">
        <f>IF(Provozování!$I$16="Neaktivní",0,Provozování!I47)</f>
        <v>0</v>
      </c>
      <c r="P45" s="49">
        <v>0</v>
      </c>
      <c r="Q45" s="442">
        <v>0</v>
      </c>
      <c r="T45" s="12" t="s">
        <v>64</v>
      </c>
      <c r="U45" s="13" t="s">
        <v>65</v>
      </c>
      <c r="V45" s="3" t="s">
        <v>66</v>
      </c>
      <c r="W45" s="595">
        <v>0</v>
      </c>
      <c r="X45" s="49">
        <f>IF(Provozování!$I$16="Neaktivní",F45,F45*Výpočty!$H$58+O45)</f>
        <v>0</v>
      </c>
      <c r="Y45" s="49">
        <f>W45-X45</f>
        <v>0</v>
      </c>
      <c r="Z45" s="445">
        <v>0</v>
      </c>
      <c r="AA45" s="445">
        <v>0</v>
      </c>
      <c r="AB45" s="442">
        <v>0</v>
      </c>
      <c r="AC45" s="183"/>
      <c r="AD45" s="183"/>
      <c r="AE45" s="963" t="s">
        <v>416</v>
      </c>
      <c r="AF45" s="964"/>
      <c r="AG45" s="957" t="str">
        <f>IF(AG43&gt;0,"úspora",IF(AG43&lt;0,"ztráta provozovatele","-"))</f>
        <v>-</v>
      </c>
      <c r="AH45" s="957" t="str">
        <f ca="1">IF(AH43&gt;0,"úspora",IF(AH43&lt;0,"ztráta provozovatele","-"))</f>
        <v>ztráta provozovatele</v>
      </c>
    </row>
    <row r="46" spans="2:34" x14ac:dyDescent="0.25">
      <c r="B46" s="12" t="s">
        <v>67</v>
      </c>
      <c r="C46" s="13" t="s">
        <v>68</v>
      </c>
      <c r="D46" s="3" t="s">
        <v>66</v>
      </c>
      <c r="E46" s="49">
        <v>0</v>
      </c>
      <c r="F46" s="49">
        <f>IF(AND(DAY(Postup!$H$24)=1,MONTH(Postup!$H$24)=1),Provozování!E48,Provozování!G48)</f>
        <v>0</v>
      </c>
      <c r="G46" s="49">
        <v>0</v>
      </c>
      <c r="H46" s="442">
        <v>0</v>
      </c>
      <c r="K46" s="12" t="s">
        <v>67</v>
      </c>
      <c r="L46" s="13" t="s">
        <v>68</v>
      </c>
      <c r="M46" s="3" t="s">
        <v>66</v>
      </c>
      <c r="N46" s="49">
        <v>0</v>
      </c>
      <c r="O46" s="49">
        <f>IF(Provozování!$I$16="Neaktivní",0,Provozování!I48)</f>
        <v>0</v>
      </c>
      <c r="P46" s="49">
        <v>0</v>
      </c>
      <c r="Q46" s="442">
        <v>0</v>
      </c>
      <c r="T46" s="12" t="s">
        <v>67</v>
      </c>
      <c r="U46" s="13" t="s">
        <v>68</v>
      </c>
      <c r="V46" s="3" t="s">
        <v>66</v>
      </c>
      <c r="W46" s="595">
        <v>0</v>
      </c>
      <c r="X46" s="49">
        <f>IF(Provozování!$I$16="Neaktivní",F46,F46*Výpočty!$H$58+O46)</f>
        <v>0</v>
      </c>
      <c r="Y46" s="49">
        <f>W46-X46</f>
        <v>0</v>
      </c>
      <c r="Z46" s="445">
        <v>0</v>
      </c>
      <c r="AA46" s="445">
        <v>0</v>
      </c>
      <c r="AB46" s="442">
        <v>0</v>
      </c>
      <c r="AC46" s="183"/>
      <c r="AD46" s="183"/>
      <c r="AE46" s="965"/>
      <c r="AF46" s="966"/>
      <c r="AG46" s="958"/>
      <c r="AH46" s="958"/>
    </row>
    <row r="47" spans="2:34" x14ac:dyDescent="0.25">
      <c r="B47" s="12" t="s">
        <v>69</v>
      </c>
      <c r="C47" s="13" t="s">
        <v>70</v>
      </c>
      <c r="D47" s="3" t="s">
        <v>66</v>
      </c>
      <c r="E47" s="49">
        <v>0</v>
      </c>
      <c r="F47" s="445">
        <v>0</v>
      </c>
      <c r="G47" s="49">
        <v>0</v>
      </c>
      <c r="H47" s="32">
        <f>IF(AND(DAY(Postup!$H$24)=1,MONTH(Postup!$H$24)=1),Provozování!F49,Provozování!H49)</f>
        <v>1.4E-2</v>
      </c>
      <c r="K47" s="12" t="s">
        <v>69</v>
      </c>
      <c r="L47" s="13" t="s">
        <v>70</v>
      </c>
      <c r="M47" s="3" t="s">
        <v>66</v>
      </c>
      <c r="N47" s="49">
        <v>0</v>
      </c>
      <c r="O47" s="445">
        <v>0</v>
      </c>
      <c r="P47" s="49">
        <v>0</v>
      </c>
      <c r="Q47" s="59">
        <f>IF(Provozování!$I$16="Neaktivní",0,Provozování!J49)</f>
        <v>0</v>
      </c>
      <c r="T47" s="12" t="s">
        <v>69</v>
      </c>
      <c r="U47" s="13" t="s">
        <v>70</v>
      </c>
      <c r="V47" s="3" t="s">
        <v>66</v>
      </c>
      <c r="W47" s="445">
        <v>0</v>
      </c>
      <c r="X47" s="445">
        <v>0</v>
      </c>
      <c r="Y47" s="445">
        <v>0</v>
      </c>
      <c r="Z47" s="595">
        <v>0</v>
      </c>
      <c r="AA47" s="49">
        <f>IF(Provozování!$I$16="Neaktivní",H47,H47*Výpočty!$H$58+Q47)</f>
        <v>1.4E-2</v>
      </c>
      <c r="AB47" s="32">
        <f t="shared" ref="AB47:AB52" si="21">Z47-AA47</f>
        <v>-1.4E-2</v>
      </c>
      <c r="AC47" s="183"/>
      <c r="AD47" s="183"/>
      <c r="AE47" s="533" t="s">
        <v>422</v>
      </c>
      <c r="AF47" s="533"/>
      <c r="AG47" s="453">
        <f>IF(AG43&gt;0,AG43/AG40,0)</f>
        <v>0</v>
      </c>
      <c r="AH47" s="453">
        <f ca="1">IF(AH43&gt;0,AH43/AH40,0)</f>
        <v>0</v>
      </c>
    </row>
    <row r="48" spans="2:34" x14ac:dyDescent="0.25">
      <c r="B48" s="12" t="s">
        <v>71</v>
      </c>
      <c r="C48" s="13" t="s">
        <v>68</v>
      </c>
      <c r="D48" s="3" t="s">
        <v>66</v>
      </c>
      <c r="E48" s="49">
        <v>0</v>
      </c>
      <c r="F48" s="445">
        <v>0</v>
      </c>
      <c r="G48" s="49">
        <v>0</v>
      </c>
      <c r="H48" s="32">
        <f>IF(AND(DAY(Postup!$H$24)=1,MONTH(Postup!$H$24)=1),Provozování!F50,Provozování!H50)</f>
        <v>7.4190000000000002E-3</v>
      </c>
      <c r="K48" s="12" t="s">
        <v>71</v>
      </c>
      <c r="L48" s="13" t="s">
        <v>68</v>
      </c>
      <c r="M48" s="3" t="s">
        <v>66</v>
      </c>
      <c r="N48" s="49">
        <v>0</v>
      </c>
      <c r="O48" s="445">
        <v>0</v>
      </c>
      <c r="P48" s="49">
        <v>0</v>
      </c>
      <c r="Q48" s="59">
        <f>IF(Provozování!$I$16="Neaktivní",0,Provozování!J50)</f>
        <v>0</v>
      </c>
      <c r="T48" s="12" t="s">
        <v>71</v>
      </c>
      <c r="U48" s="13" t="s">
        <v>68</v>
      </c>
      <c r="V48" s="3" t="s">
        <v>66</v>
      </c>
      <c r="W48" s="445">
        <v>0</v>
      </c>
      <c r="X48" s="445">
        <v>0</v>
      </c>
      <c r="Y48" s="445">
        <v>0</v>
      </c>
      <c r="Z48" s="595">
        <v>0</v>
      </c>
      <c r="AA48" s="49">
        <f>IF(Provozování!$I$16="Neaktivní",H48,H48*Výpočty!$H$58+Q48)</f>
        <v>7.4190000000000002E-3</v>
      </c>
      <c r="AB48" s="32">
        <f t="shared" si="21"/>
        <v>-7.4190000000000002E-3</v>
      </c>
      <c r="AC48" s="183"/>
      <c r="AD48" s="183"/>
      <c r="AE48" s="556" t="s">
        <v>402</v>
      </c>
      <c r="AF48" s="556"/>
      <c r="AG48" s="961">
        <f>IF(AG47&gt;0,AG40*AI49*0.5,0)</f>
        <v>0</v>
      </c>
      <c r="AH48" s="961">
        <f ca="1">IF(AH47&gt;0,AH40*AJ49*0.5,0)</f>
        <v>0</v>
      </c>
    </row>
    <row r="49" spans="2:43" x14ac:dyDescent="0.25">
      <c r="B49" s="12" t="s">
        <v>72</v>
      </c>
      <c r="C49" s="13" t="s">
        <v>73</v>
      </c>
      <c r="D49" s="3" t="s">
        <v>66</v>
      </c>
      <c r="E49" s="49">
        <v>0</v>
      </c>
      <c r="F49" s="445">
        <v>0</v>
      </c>
      <c r="G49" s="49">
        <v>0</v>
      </c>
      <c r="H49" s="32">
        <f>IF(AND(DAY(Postup!$H$24)=1,MONTH(Postup!$H$24)=1),Provozování!F51,Provozování!H51)</f>
        <v>0</v>
      </c>
      <c r="K49" s="12" t="s">
        <v>72</v>
      </c>
      <c r="L49" s="13" t="s">
        <v>73</v>
      </c>
      <c r="M49" s="3" t="s">
        <v>66</v>
      </c>
      <c r="N49" s="49">
        <v>0</v>
      </c>
      <c r="O49" s="445">
        <v>0</v>
      </c>
      <c r="P49" s="49">
        <v>0</v>
      </c>
      <c r="Q49" s="59">
        <f>IF(Provozování!$I$16="Neaktivní",0,Provozování!J51)</f>
        <v>0</v>
      </c>
      <c r="T49" s="12" t="s">
        <v>72</v>
      </c>
      <c r="U49" s="13" t="s">
        <v>73</v>
      </c>
      <c r="V49" s="3" t="s">
        <v>66</v>
      </c>
      <c r="W49" s="445">
        <v>0</v>
      </c>
      <c r="X49" s="445">
        <v>0</v>
      </c>
      <c r="Y49" s="445">
        <v>0</v>
      </c>
      <c r="Z49" s="595">
        <v>0</v>
      </c>
      <c r="AA49" s="49">
        <f>IF(Provozování!$I$16="Neaktivní",H49,H49*Výpočty!$H$58+Q49)</f>
        <v>0</v>
      </c>
      <c r="AB49" s="32">
        <f t="shared" si="21"/>
        <v>0</v>
      </c>
      <c r="AC49" s="183"/>
      <c r="AD49" s="183"/>
      <c r="AE49" s="557" t="s">
        <v>413</v>
      </c>
      <c r="AF49" s="557"/>
      <c r="AG49" s="962"/>
      <c r="AH49" s="962"/>
      <c r="AI49" s="454">
        <f>IF(AG47&gt;0.05,0.05,AG47)</f>
        <v>0</v>
      </c>
      <c r="AJ49" s="454">
        <f ca="1">IF(AH47&gt;0.05,0.05,AH47)</f>
        <v>0</v>
      </c>
      <c r="AL49" s="552"/>
      <c r="AM49" s="552"/>
      <c r="AN49" s="184"/>
      <c r="AO49" s="184"/>
      <c r="AP49" s="454"/>
      <c r="AQ49" s="454"/>
    </row>
    <row r="50" spans="2:43" x14ac:dyDescent="0.25">
      <c r="B50" s="12" t="s">
        <v>74</v>
      </c>
      <c r="C50" s="13" t="s">
        <v>75</v>
      </c>
      <c r="D50" s="3" t="s">
        <v>66</v>
      </c>
      <c r="E50" s="49">
        <v>0</v>
      </c>
      <c r="F50" s="445">
        <v>0</v>
      </c>
      <c r="G50" s="49">
        <v>0</v>
      </c>
      <c r="H50" s="32">
        <f>IF(AND(DAY(Postup!$H$24)=1,MONTH(Postup!$H$24)=1),Provozování!F52,Provozování!H52)</f>
        <v>0</v>
      </c>
      <c r="K50" s="12" t="s">
        <v>74</v>
      </c>
      <c r="L50" s="13" t="s">
        <v>75</v>
      </c>
      <c r="M50" s="3" t="s">
        <v>66</v>
      </c>
      <c r="N50" s="49">
        <v>0</v>
      </c>
      <c r="O50" s="445">
        <v>0</v>
      </c>
      <c r="P50" s="49">
        <v>0</v>
      </c>
      <c r="Q50" s="59">
        <f>IF(Provozování!$I$16="Neaktivní",0,Provozování!J52)</f>
        <v>0</v>
      </c>
      <c r="T50" s="12" t="s">
        <v>74</v>
      </c>
      <c r="U50" s="13" t="s">
        <v>75</v>
      </c>
      <c r="V50" s="3" t="s">
        <v>66</v>
      </c>
      <c r="W50" s="445">
        <v>0</v>
      </c>
      <c r="X50" s="445">
        <v>0</v>
      </c>
      <c r="Y50" s="445">
        <v>0</v>
      </c>
      <c r="Z50" s="595">
        <v>0</v>
      </c>
      <c r="AA50" s="49">
        <f>IF(Provozování!$I$16="Neaktivní",H50,H50*Výpočty!$H$58+Q50)</f>
        <v>0</v>
      </c>
      <c r="AB50" s="32">
        <f t="shared" si="21"/>
        <v>0</v>
      </c>
      <c r="AC50" s="183"/>
      <c r="AD50" s="183"/>
      <c r="AE50" s="534" t="s">
        <v>414</v>
      </c>
      <c r="AF50" s="534"/>
      <c r="AG50" s="360">
        <f>IF(AI50&gt;0,AG40*(AI50-0.05)*0.8,0)</f>
        <v>0</v>
      </c>
      <c r="AH50" s="360">
        <f ca="1">IF(AJ50&gt;0,AH40*(AJ50-0.05)*0.8,0)</f>
        <v>0</v>
      </c>
      <c r="AI50" s="454">
        <f>IF(AND(AG47&gt;0.05,AG47&lt;=0.1),AG47,IF(AG47&lt;=0.05,0,0.1))</f>
        <v>0</v>
      </c>
      <c r="AJ50" s="454">
        <f ca="1">IF(AND(AH47&gt;0.05,AH47&lt;=0.1),AH47,IF(AH47&lt;=0.05,0,0.1))</f>
        <v>0</v>
      </c>
      <c r="AL50" s="552"/>
      <c r="AM50" s="552"/>
      <c r="AN50" s="184"/>
      <c r="AO50" s="184"/>
      <c r="AP50" s="454"/>
      <c r="AQ50" s="454"/>
    </row>
    <row r="51" spans="2:43" x14ac:dyDescent="0.25">
      <c r="B51" s="12" t="s">
        <v>76</v>
      </c>
      <c r="C51" s="13" t="s">
        <v>77</v>
      </c>
      <c r="D51" s="3" t="s">
        <v>66</v>
      </c>
      <c r="E51" s="49">
        <v>0</v>
      </c>
      <c r="F51" s="49">
        <f>IF(AND(DAY(Postup!$H$24)=1,MONTH(Postup!$H$24)=1),Provozování!E53,Provozování!G53)</f>
        <v>0</v>
      </c>
      <c r="G51" s="49">
        <v>0</v>
      </c>
      <c r="H51" s="32">
        <f>IF(AND(DAY(Postup!$H$24)=1,MONTH(Postup!$H$24)=1),Provozování!F53,Provozování!H53)</f>
        <v>0</v>
      </c>
      <c r="K51" s="12" t="s">
        <v>76</v>
      </c>
      <c r="L51" s="13" t="s">
        <v>77</v>
      </c>
      <c r="M51" s="3" t="s">
        <v>66</v>
      </c>
      <c r="N51" s="49">
        <v>0</v>
      </c>
      <c r="O51" s="49">
        <f>IF(Provozování!$I$16="Neaktivní",0,Provozování!I53)</f>
        <v>0</v>
      </c>
      <c r="P51" s="49">
        <v>0</v>
      </c>
      <c r="Q51" s="59">
        <f>IF(Provozování!$I$16="Neaktivní",0,Provozování!J53)</f>
        <v>0</v>
      </c>
      <c r="T51" s="12" t="s">
        <v>76</v>
      </c>
      <c r="U51" s="13" t="s">
        <v>77</v>
      </c>
      <c r="V51" s="3" t="s">
        <v>66</v>
      </c>
      <c r="W51" s="595">
        <v>0</v>
      </c>
      <c r="X51" s="49">
        <f>IF(Provozování!$I$16="Neaktivní",F51,F51*Výpočty!$H$58+O51)</f>
        <v>0</v>
      </c>
      <c r="Y51" s="49">
        <f>W51-X51</f>
        <v>0</v>
      </c>
      <c r="Z51" s="595">
        <v>0</v>
      </c>
      <c r="AA51" s="49">
        <f>IF(Provozování!$I$16="Neaktivní",H51,H51*Výpočty!$H$58+Q51)</f>
        <v>0</v>
      </c>
      <c r="AB51" s="32">
        <f t="shared" si="21"/>
        <v>0</v>
      </c>
      <c r="AC51" s="183"/>
      <c r="AD51" s="183"/>
      <c r="AE51" s="534" t="s">
        <v>415</v>
      </c>
      <c r="AF51" s="534"/>
      <c r="AG51" s="360">
        <f>IF(AI51&gt;0,AG40*(AI51-0.1)*1,0)</f>
        <v>0</v>
      </c>
      <c r="AH51" s="360">
        <f ca="1">IF(AJ51&gt;0,AH40*(AJ51-0.1)*1,0)</f>
        <v>0</v>
      </c>
      <c r="AI51" s="454">
        <f>IF(AG47&gt;0.1,AG47,0)</f>
        <v>0</v>
      </c>
      <c r="AJ51" s="454">
        <f ca="1">IF(AH47&gt;0.1,AH47,0)</f>
        <v>0</v>
      </c>
      <c r="AL51" s="552"/>
      <c r="AM51" s="552"/>
      <c r="AN51" s="184"/>
      <c r="AO51" s="184"/>
      <c r="AP51" s="454"/>
      <c r="AQ51" s="454"/>
    </row>
    <row r="52" spans="2:43" x14ac:dyDescent="0.25">
      <c r="B52" s="12" t="s">
        <v>78</v>
      </c>
      <c r="C52" s="13" t="s">
        <v>79</v>
      </c>
      <c r="D52" s="3" t="s">
        <v>66</v>
      </c>
      <c r="E52" s="49">
        <v>0</v>
      </c>
      <c r="F52" s="49">
        <f>IF(AND(DAY(Postup!$H$24)=1,MONTH(Postup!$H$24)=1),Provozování!E54,Provozování!G54)</f>
        <v>0</v>
      </c>
      <c r="G52" s="49">
        <v>0</v>
      </c>
      <c r="H52" s="32">
        <f>IF(AND(DAY(Postup!$H$24)=1,MONTH(Postup!$H$24)=1),Provozování!F54,Provozování!H54)</f>
        <v>1.4E-2</v>
      </c>
      <c r="K52" s="12" t="s">
        <v>78</v>
      </c>
      <c r="L52" s="13" t="s">
        <v>79</v>
      </c>
      <c r="M52" s="3" t="s">
        <v>66</v>
      </c>
      <c r="N52" s="49">
        <v>0</v>
      </c>
      <c r="O52" s="49">
        <f>IF(Provozování!$I$16="Neaktivní",0,Provozování!I54)</f>
        <v>0</v>
      </c>
      <c r="P52" s="49">
        <v>0</v>
      </c>
      <c r="Q52" s="32">
        <f>IF(Provozování!$I$16="Neaktivní",0,Provozování!J54)</f>
        <v>0</v>
      </c>
      <c r="T52" s="12" t="s">
        <v>78</v>
      </c>
      <c r="U52" s="13" t="s">
        <v>79</v>
      </c>
      <c r="V52" s="3" t="s">
        <v>66</v>
      </c>
      <c r="W52" s="595">
        <v>0</v>
      </c>
      <c r="X52" s="49">
        <f>IF(Provozování!$I$16="Neaktivní",F52,F52*Výpočty!$H$58+O52)</f>
        <v>0</v>
      </c>
      <c r="Y52" s="49">
        <f>W52-X52</f>
        <v>0</v>
      </c>
      <c r="Z52" s="595">
        <v>0</v>
      </c>
      <c r="AA52" s="49">
        <f>IF(Provozování!$I$16="Neaktivní",H52,H52*Výpočty!$H$58+Q52)</f>
        <v>1.4E-2</v>
      </c>
      <c r="AB52" s="32">
        <f t="shared" si="21"/>
        <v>-1.4E-2</v>
      </c>
      <c r="AC52" s="183"/>
      <c r="AD52" s="183"/>
      <c r="AE52" s="532" t="s">
        <v>403</v>
      </c>
      <c r="AF52" s="532"/>
      <c r="AG52" s="455">
        <f>SUM(AG48:AG51)</f>
        <v>0</v>
      </c>
      <c r="AH52" s="455">
        <f ca="1">SUM(AH48:AH51)</f>
        <v>0</v>
      </c>
      <c r="AL52" s="553"/>
      <c r="AM52" s="553"/>
      <c r="AN52" s="421"/>
      <c r="AO52" s="421"/>
    </row>
    <row r="53" spans="2:43" x14ac:dyDescent="0.25">
      <c r="B53" s="1"/>
      <c r="C53" s="1"/>
      <c r="D53" s="1"/>
      <c r="E53" s="1"/>
      <c r="F53" s="1"/>
      <c r="G53" s="1"/>
      <c r="H53" s="1"/>
      <c r="K53" s="1"/>
      <c r="L53" s="1"/>
      <c r="M53" s="1"/>
      <c r="N53" s="1"/>
      <c r="O53" s="1"/>
      <c r="P53" s="1"/>
      <c r="Q53" s="1"/>
      <c r="T53" s="1"/>
      <c r="U53" s="1"/>
      <c r="V53" s="1"/>
      <c r="W53" s="1"/>
      <c r="X53" s="1"/>
      <c r="Y53" s="1"/>
      <c r="Z53" s="1"/>
      <c r="AA53" s="1"/>
      <c r="AB53" s="1"/>
      <c r="AC53" s="183"/>
      <c r="AD53" s="183"/>
      <c r="AE53" s="183"/>
      <c r="AF53" s="183"/>
      <c r="AG53" s="183"/>
      <c r="AH53" s="183"/>
    </row>
    <row r="54" spans="2:43" x14ac:dyDescent="0.25">
      <c r="B54" s="932" t="s">
        <v>5</v>
      </c>
      <c r="C54" s="721" t="s">
        <v>80</v>
      </c>
      <c r="D54" s="722"/>
      <c r="E54" s="723"/>
      <c r="F54" s="724"/>
      <c r="G54" s="722"/>
      <c r="H54" s="725"/>
      <c r="K54" s="932" t="s">
        <v>5</v>
      </c>
      <c r="L54" s="721" t="s">
        <v>80</v>
      </c>
      <c r="M54" s="722"/>
      <c r="N54" s="723"/>
      <c r="O54" s="724"/>
      <c r="P54" s="722"/>
      <c r="Q54" s="725"/>
      <c r="T54" s="771" t="s">
        <v>5</v>
      </c>
      <c r="U54" s="721" t="s">
        <v>80</v>
      </c>
      <c r="V54" s="722"/>
      <c r="W54" s="723"/>
      <c r="X54" s="723"/>
      <c r="Y54" s="724"/>
      <c r="Z54" s="722"/>
      <c r="AA54" s="722"/>
      <c r="AB54" s="725"/>
      <c r="AC54" s="183"/>
      <c r="AD54" s="183"/>
      <c r="AE54" s="183"/>
      <c r="AF54" s="183"/>
      <c r="AG54" s="183"/>
      <c r="AH54" s="183"/>
    </row>
    <row r="55" spans="2:43" x14ac:dyDescent="0.25">
      <c r="B55" s="930"/>
      <c r="C55" s="932" t="s">
        <v>81</v>
      </c>
      <c r="D55" s="929" t="s">
        <v>173</v>
      </c>
      <c r="E55" s="874" t="s">
        <v>118</v>
      </c>
      <c r="F55" s="937"/>
      <c r="G55" s="26" t="s">
        <v>3</v>
      </c>
      <c r="H55" s="23" t="s">
        <v>4</v>
      </c>
      <c r="K55" s="930"/>
      <c r="L55" s="5" t="s">
        <v>81</v>
      </c>
      <c r="M55" s="929" t="s">
        <v>173</v>
      </c>
      <c r="N55" s="874" t="s">
        <v>118</v>
      </c>
      <c r="O55" s="937"/>
      <c r="P55" s="26" t="s">
        <v>3</v>
      </c>
      <c r="Q55" s="23" t="s">
        <v>4</v>
      </c>
      <c r="T55" s="934"/>
      <c r="U55" s="932" t="s">
        <v>81</v>
      </c>
      <c r="V55" s="929" t="s">
        <v>173</v>
      </c>
      <c r="W55" s="874" t="s">
        <v>118</v>
      </c>
      <c r="X55" s="937"/>
      <c r="Y55" s="874" t="s">
        <v>3</v>
      </c>
      <c r="Z55" s="939"/>
      <c r="AA55" s="940" t="s">
        <v>4</v>
      </c>
      <c r="AB55" s="940"/>
      <c r="AC55" s="183"/>
      <c r="AD55" s="183"/>
      <c r="AE55" s="183"/>
      <c r="AF55" s="183"/>
      <c r="AG55" s="183"/>
      <c r="AH55" s="183"/>
    </row>
    <row r="56" spans="2:43" x14ac:dyDescent="0.25">
      <c r="B56" s="931"/>
      <c r="C56" s="931"/>
      <c r="D56" s="936"/>
      <c r="E56" s="875"/>
      <c r="F56" s="938"/>
      <c r="G56" s="27" t="s">
        <v>7</v>
      </c>
      <c r="H56" s="24" t="s">
        <v>7</v>
      </c>
      <c r="K56" s="931"/>
      <c r="L56" s="8"/>
      <c r="M56" s="936"/>
      <c r="N56" s="875"/>
      <c r="O56" s="938"/>
      <c r="P56" s="27" t="s">
        <v>7</v>
      </c>
      <c r="Q56" s="24" t="s">
        <v>7</v>
      </c>
      <c r="T56" s="935"/>
      <c r="U56" s="931"/>
      <c r="V56" s="936"/>
      <c r="W56" s="875"/>
      <c r="X56" s="938"/>
      <c r="Y56" s="40" t="s">
        <v>196</v>
      </c>
      <c r="Z56" s="40" t="s">
        <v>7</v>
      </c>
      <c r="AA56" s="40" t="s">
        <v>196</v>
      </c>
      <c r="AB56" s="40" t="s">
        <v>7</v>
      </c>
      <c r="AC56" s="183"/>
      <c r="AD56" s="183"/>
      <c r="AE56" s="183"/>
      <c r="AF56" s="183"/>
      <c r="AG56" s="183"/>
      <c r="AH56" s="183"/>
    </row>
    <row r="57" spans="2:43" x14ac:dyDescent="0.25">
      <c r="B57" s="11">
        <v>1</v>
      </c>
      <c r="C57" s="11">
        <v>2</v>
      </c>
      <c r="D57" s="11" t="s">
        <v>111</v>
      </c>
      <c r="E57" s="735" t="s">
        <v>115</v>
      </c>
      <c r="F57" s="736"/>
      <c r="G57" s="11" t="s">
        <v>116</v>
      </c>
      <c r="H57" s="22" t="s">
        <v>117</v>
      </c>
      <c r="K57" s="11">
        <v>1</v>
      </c>
      <c r="L57" s="11">
        <v>2</v>
      </c>
      <c r="M57" s="11" t="s">
        <v>111</v>
      </c>
      <c r="N57" s="735" t="s">
        <v>115</v>
      </c>
      <c r="O57" s="736"/>
      <c r="P57" s="11" t="s">
        <v>116</v>
      </c>
      <c r="Q57" s="22" t="s">
        <v>117</v>
      </c>
      <c r="T57" s="11">
        <v>1</v>
      </c>
      <c r="U57" s="11">
        <v>2</v>
      </c>
      <c r="V57" s="11" t="s">
        <v>111</v>
      </c>
      <c r="W57" s="944" t="s">
        <v>115</v>
      </c>
      <c r="X57" s="945"/>
      <c r="Y57" s="11" t="s">
        <v>201</v>
      </c>
      <c r="Z57" s="11" t="s">
        <v>116</v>
      </c>
      <c r="AA57" s="11" t="s">
        <v>200</v>
      </c>
      <c r="AB57" s="22" t="s">
        <v>117</v>
      </c>
      <c r="AC57" s="183"/>
      <c r="AD57" s="183"/>
      <c r="AE57" s="183"/>
      <c r="AF57" s="183"/>
      <c r="AG57" s="183"/>
      <c r="AH57" s="183"/>
    </row>
    <row r="58" spans="2:43" x14ac:dyDescent="0.25">
      <c r="B58" s="12" t="s">
        <v>82</v>
      </c>
      <c r="C58" s="13" t="s">
        <v>127</v>
      </c>
      <c r="D58" s="13" t="s">
        <v>83</v>
      </c>
      <c r="E58" s="732" t="s">
        <v>120</v>
      </c>
      <c r="F58" s="733"/>
      <c r="G58" s="171">
        <f>IF(G64=0,0,G59/G64)</f>
        <v>0</v>
      </c>
      <c r="H58" s="172">
        <f>IF(H64=0,0,H59/H64)</f>
        <v>30.714285714285712</v>
      </c>
      <c r="K58" s="12" t="s">
        <v>82</v>
      </c>
      <c r="L58" s="13" t="s">
        <v>127</v>
      </c>
      <c r="M58" s="13" t="s">
        <v>83</v>
      </c>
      <c r="N58" s="732" t="s">
        <v>120</v>
      </c>
      <c r="O58" s="733"/>
      <c r="P58" s="171">
        <f>IF(P64=0,0,P59/P64)</f>
        <v>0</v>
      </c>
      <c r="Q58" s="172">
        <f>IF(Q64=0,0,Q59/Q64)</f>
        <v>0</v>
      </c>
      <c r="T58" s="12" t="s">
        <v>82</v>
      </c>
      <c r="U58" s="13" t="s">
        <v>127</v>
      </c>
      <c r="V58" s="13" t="s">
        <v>83</v>
      </c>
      <c r="W58" s="13" t="s">
        <v>120</v>
      </c>
      <c r="X58" s="101"/>
      <c r="Y58" s="171">
        <f t="shared" ref="Y58:AB58" si="22">IF(Y64=0,0,Y59/Y64)</f>
        <v>0</v>
      </c>
      <c r="Z58" s="171">
        <f t="shared" si="22"/>
        <v>0</v>
      </c>
      <c r="AA58" s="171">
        <f t="shared" si="22"/>
        <v>0</v>
      </c>
      <c r="AB58" s="172">
        <f t="shared" si="22"/>
        <v>30.714285714285712</v>
      </c>
      <c r="AC58" s="183"/>
      <c r="AD58" s="183"/>
      <c r="AE58" s="183"/>
      <c r="AF58" s="183"/>
      <c r="AG58" s="183"/>
      <c r="AH58" s="183"/>
    </row>
    <row r="59" spans="2:43" x14ac:dyDescent="0.25">
      <c r="B59" s="12" t="s">
        <v>84</v>
      </c>
      <c r="C59" s="13" t="s">
        <v>85</v>
      </c>
      <c r="D59" s="13" t="s">
        <v>10</v>
      </c>
      <c r="E59" s="732" t="s">
        <v>121</v>
      </c>
      <c r="F59" s="733"/>
      <c r="G59" s="448">
        <f>F41</f>
        <v>0</v>
      </c>
      <c r="H59" s="449">
        <f>H41</f>
        <v>0.43</v>
      </c>
      <c r="K59" s="12" t="s">
        <v>84</v>
      </c>
      <c r="L59" s="13" t="s">
        <v>85</v>
      </c>
      <c r="M59" s="13" t="s">
        <v>10</v>
      </c>
      <c r="N59" s="732" t="s">
        <v>121</v>
      </c>
      <c r="O59" s="733"/>
      <c r="P59" s="448">
        <f>O41</f>
        <v>0</v>
      </c>
      <c r="Q59" s="449">
        <f>Q41</f>
        <v>0</v>
      </c>
      <c r="T59" s="12" t="s">
        <v>84</v>
      </c>
      <c r="U59" s="13" t="s">
        <v>85</v>
      </c>
      <c r="V59" s="13" t="s">
        <v>10</v>
      </c>
      <c r="W59" s="13" t="s">
        <v>121</v>
      </c>
      <c r="X59" s="101"/>
      <c r="Y59" s="14">
        <f>W41</f>
        <v>0</v>
      </c>
      <c r="Z59" s="14">
        <f>X41</f>
        <v>0</v>
      </c>
      <c r="AA59" s="14">
        <f>Z41</f>
        <v>0</v>
      </c>
      <c r="AB59" s="15">
        <f>AA41</f>
        <v>0.43</v>
      </c>
      <c r="AC59" s="183"/>
      <c r="AD59" s="183"/>
      <c r="AE59" s="183"/>
      <c r="AF59" s="183"/>
      <c r="AG59" s="183"/>
      <c r="AH59" s="183"/>
    </row>
    <row r="60" spans="2:43" x14ac:dyDescent="0.25">
      <c r="B60" s="12" t="s">
        <v>86</v>
      </c>
      <c r="C60" s="13" t="s">
        <v>87</v>
      </c>
      <c r="D60" s="13" t="s">
        <v>10</v>
      </c>
      <c r="E60" s="732"/>
      <c r="F60" s="733"/>
      <c r="G60" s="448">
        <f>IF(AND(DAY(Postup!$H$24)=1,MONTH(Postup!$H$24)=1),Provozování!E85,Provozování!G85)</f>
        <v>0</v>
      </c>
      <c r="H60" s="449">
        <f ca="1">IF(AND(DAY(Postup!$H$24)=1,MONTH(Postup!$H$24)=1),Provozování!F85,Provozování!H85)</f>
        <v>7.758654207907981E-3</v>
      </c>
      <c r="K60" s="12" t="s">
        <v>86</v>
      </c>
      <c r="L60" s="13" t="s">
        <v>87</v>
      </c>
      <c r="M60" s="13" t="s">
        <v>10</v>
      </c>
      <c r="N60" s="732"/>
      <c r="O60" s="733"/>
      <c r="P60" s="448">
        <f>IF(Provozování!$I$16="Neaktivní",0,Provozování!I85)</f>
        <v>0</v>
      </c>
      <c r="Q60" s="449">
        <f>IF(Provozování!$I$16="Neaktivní",0,Provozování!J85)</f>
        <v>0</v>
      </c>
      <c r="T60" s="12" t="s">
        <v>86</v>
      </c>
      <c r="U60" s="13" t="s">
        <v>87</v>
      </c>
      <c r="V60" s="13" t="s">
        <v>10</v>
      </c>
      <c r="W60" s="13"/>
      <c r="X60" s="101"/>
      <c r="Y60" s="595">
        <v>0</v>
      </c>
      <c r="Z60" s="14">
        <f>IF(Provozování!$I$16="Neaktivní",G60,G60*Výpočty!$H$58+P60)</f>
        <v>0</v>
      </c>
      <c r="AA60" s="595">
        <v>0</v>
      </c>
      <c r="AB60" s="15">
        <f ca="1">IF(Provozování!$I$16="Neaktivní",H60,H60*Výpočty!$H$58+Q60)</f>
        <v>7.758654207907981E-3</v>
      </c>
      <c r="AC60" s="183"/>
      <c r="AD60" s="183"/>
      <c r="AE60" s="183"/>
      <c r="AF60" s="183"/>
      <c r="AG60" s="183"/>
      <c r="AH60" s="183"/>
    </row>
    <row r="61" spans="2:43" x14ac:dyDescent="0.25">
      <c r="B61" s="12" t="s">
        <v>88</v>
      </c>
      <c r="C61" s="21" t="s">
        <v>89</v>
      </c>
      <c r="D61" s="13" t="s">
        <v>90</v>
      </c>
      <c r="E61" s="732" t="s">
        <v>123</v>
      </c>
      <c r="F61" s="733"/>
      <c r="G61" s="171">
        <f>IF(G59=0,0,G60/G59*100)</f>
        <v>0</v>
      </c>
      <c r="H61" s="172">
        <f ca="1">IF(H59=0,0,H60/H59*100)</f>
        <v>1.8043381878855771</v>
      </c>
      <c r="K61" s="12" t="s">
        <v>88</v>
      </c>
      <c r="L61" s="21" t="s">
        <v>89</v>
      </c>
      <c r="M61" s="13" t="s">
        <v>90</v>
      </c>
      <c r="N61" s="732" t="s">
        <v>123</v>
      </c>
      <c r="O61" s="733"/>
      <c r="P61" s="171">
        <f>IF(P59=0,0,P60/P59*100)</f>
        <v>0</v>
      </c>
      <c r="Q61" s="172">
        <f>IF(Q59=0,0,Q60/Q59*100)</f>
        <v>0</v>
      </c>
      <c r="T61" s="12" t="s">
        <v>88</v>
      </c>
      <c r="U61" s="21" t="s">
        <v>89</v>
      </c>
      <c r="V61" s="13" t="s">
        <v>90</v>
      </c>
      <c r="W61" s="13" t="s">
        <v>123</v>
      </c>
      <c r="X61" s="101"/>
      <c r="Y61" s="171">
        <f t="shared" ref="Y61:AB61" si="23">IF(Y59=0,0,Y60/Y59*100)</f>
        <v>0</v>
      </c>
      <c r="Z61" s="171">
        <f t="shared" si="23"/>
        <v>0</v>
      </c>
      <c r="AA61" s="171">
        <f t="shared" si="23"/>
        <v>0</v>
      </c>
      <c r="AB61" s="172">
        <f t="shared" ca="1" si="23"/>
        <v>1.8043381878855771</v>
      </c>
      <c r="AC61" s="183"/>
      <c r="AD61" s="183"/>
      <c r="AE61" s="183"/>
      <c r="AF61" s="183"/>
      <c r="AG61" s="183"/>
      <c r="AH61" s="183"/>
    </row>
    <row r="62" spans="2:43" x14ac:dyDescent="0.25">
      <c r="B62" s="12" t="s">
        <v>91</v>
      </c>
      <c r="C62" s="21" t="s">
        <v>92</v>
      </c>
      <c r="D62" s="13" t="s">
        <v>10</v>
      </c>
      <c r="E62" s="732"/>
      <c r="F62" s="733"/>
      <c r="G62" s="411">
        <v>0</v>
      </c>
      <c r="H62" s="136">
        <v>0</v>
      </c>
      <c r="K62" s="12" t="s">
        <v>91</v>
      </c>
      <c r="L62" s="21" t="s">
        <v>92</v>
      </c>
      <c r="M62" s="13" t="s">
        <v>10</v>
      </c>
      <c r="N62" s="732"/>
      <c r="O62" s="733"/>
      <c r="P62" s="411">
        <v>0</v>
      </c>
      <c r="Q62" s="136">
        <v>0</v>
      </c>
      <c r="T62" s="12" t="s">
        <v>91</v>
      </c>
      <c r="U62" s="21" t="s">
        <v>92</v>
      </c>
      <c r="V62" s="13" t="s">
        <v>10</v>
      </c>
      <c r="W62" s="13"/>
      <c r="X62" s="101"/>
      <c r="Y62" s="445">
        <v>0</v>
      </c>
      <c r="Z62" s="445">
        <v>0</v>
      </c>
      <c r="AA62" s="445">
        <v>0</v>
      </c>
      <c r="AB62" s="442">
        <v>0</v>
      </c>
      <c r="AC62" s="183"/>
      <c r="AD62" s="183"/>
      <c r="AE62" s="183"/>
      <c r="AF62" s="183"/>
      <c r="AG62" s="183"/>
      <c r="AH62" s="183"/>
    </row>
    <row r="63" spans="2:43" x14ac:dyDescent="0.25">
      <c r="B63" s="12" t="s">
        <v>93</v>
      </c>
      <c r="C63" s="13" t="s">
        <v>94</v>
      </c>
      <c r="D63" s="13" t="s">
        <v>10</v>
      </c>
      <c r="E63" s="732" t="s">
        <v>122</v>
      </c>
      <c r="F63" s="733"/>
      <c r="G63" s="448">
        <f>G59+G60</f>
        <v>0</v>
      </c>
      <c r="H63" s="449">
        <f ca="1">H59+H60</f>
        <v>0.43775865420790799</v>
      </c>
      <c r="K63" s="12" t="s">
        <v>93</v>
      </c>
      <c r="L63" s="13" t="s">
        <v>94</v>
      </c>
      <c r="M63" s="13" t="s">
        <v>10</v>
      </c>
      <c r="N63" s="732" t="s">
        <v>122</v>
      </c>
      <c r="O63" s="733"/>
      <c r="P63" s="448">
        <f>P59+P60</f>
        <v>0</v>
      </c>
      <c r="Q63" s="449">
        <f>Q59+Q60</f>
        <v>0</v>
      </c>
      <c r="T63" s="12" t="s">
        <v>93</v>
      </c>
      <c r="U63" s="13" t="s">
        <v>94</v>
      </c>
      <c r="V63" s="13" t="s">
        <v>10</v>
      </c>
      <c r="W63" s="13" t="s">
        <v>122</v>
      </c>
      <c r="X63" s="101"/>
      <c r="Y63" s="448">
        <f t="shared" ref="Y63:AB63" si="24">Y59+Y60</f>
        <v>0</v>
      </c>
      <c r="Z63" s="448">
        <f t="shared" si="24"/>
        <v>0</v>
      </c>
      <c r="AA63" s="448">
        <f t="shared" si="24"/>
        <v>0</v>
      </c>
      <c r="AB63" s="449">
        <f t="shared" ca="1" si="24"/>
        <v>0.43775865420790799</v>
      </c>
      <c r="AC63" s="183"/>
      <c r="AD63" s="183"/>
      <c r="AE63" s="183"/>
      <c r="AF63" s="183"/>
      <c r="AG63" s="183"/>
      <c r="AH63" s="183"/>
    </row>
    <row r="64" spans="2:43" x14ac:dyDescent="0.25">
      <c r="B64" s="12" t="s">
        <v>95</v>
      </c>
      <c r="C64" s="13" t="s">
        <v>96</v>
      </c>
      <c r="D64" s="13" t="s">
        <v>66</v>
      </c>
      <c r="E64" s="732" t="s">
        <v>124</v>
      </c>
      <c r="F64" s="733"/>
      <c r="G64" s="448">
        <f>F45</f>
        <v>0</v>
      </c>
      <c r="H64" s="449">
        <f>H47+H49</f>
        <v>1.4E-2</v>
      </c>
      <c r="K64" s="12" t="s">
        <v>95</v>
      </c>
      <c r="L64" s="13" t="s">
        <v>96</v>
      </c>
      <c r="M64" s="13" t="s">
        <v>66</v>
      </c>
      <c r="N64" s="732" t="s">
        <v>124</v>
      </c>
      <c r="O64" s="733"/>
      <c r="P64" s="448">
        <f>O45</f>
        <v>0</v>
      </c>
      <c r="Q64" s="449">
        <f>Q47+Q49</f>
        <v>0</v>
      </c>
      <c r="T64" s="12" t="s">
        <v>95</v>
      </c>
      <c r="U64" s="13" t="s">
        <v>96</v>
      </c>
      <c r="V64" s="13" t="s">
        <v>66</v>
      </c>
      <c r="W64" s="13" t="s">
        <v>124</v>
      </c>
      <c r="X64" s="101"/>
      <c r="Y64" s="14">
        <f>W45</f>
        <v>0</v>
      </c>
      <c r="Z64" s="14">
        <f>X45</f>
        <v>0</v>
      </c>
      <c r="AA64" s="14">
        <f>Z47+Z49</f>
        <v>0</v>
      </c>
      <c r="AB64" s="15">
        <f>AA47+AA49</f>
        <v>1.4E-2</v>
      </c>
      <c r="AC64" s="183"/>
      <c r="AD64" s="183"/>
      <c r="AE64" s="183"/>
      <c r="AF64" s="183"/>
      <c r="AG64" s="183"/>
      <c r="AH64" s="183"/>
    </row>
    <row r="65" spans="1:38" x14ac:dyDescent="0.25">
      <c r="B65" s="12" t="s">
        <v>97</v>
      </c>
      <c r="C65" s="13" t="s">
        <v>98</v>
      </c>
      <c r="D65" s="13" t="s">
        <v>83</v>
      </c>
      <c r="E65" s="732" t="s">
        <v>125</v>
      </c>
      <c r="F65" s="733"/>
      <c r="G65" s="171">
        <f>IF(G64=0,0,G63/G64)</f>
        <v>0</v>
      </c>
      <c r="H65" s="172">
        <f ca="1">IF(H64=0,0,H63/H64)</f>
        <v>31.268475300564855</v>
      </c>
      <c r="K65" s="12" t="s">
        <v>97</v>
      </c>
      <c r="L65" s="13" t="s">
        <v>98</v>
      </c>
      <c r="M65" s="13" t="s">
        <v>83</v>
      </c>
      <c r="N65" s="732" t="s">
        <v>125</v>
      </c>
      <c r="O65" s="733"/>
      <c r="P65" s="171">
        <f>IF(P64=0,0,P63/P64)</f>
        <v>0</v>
      </c>
      <c r="Q65" s="172">
        <f>IF(Q64=0,0,Q63/Q64)</f>
        <v>0</v>
      </c>
      <c r="T65" s="12" t="s">
        <v>97</v>
      </c>
      <c r="U65" s="13" t="s">
        <v>98</v>
      </c>
      <c r="V65" s="13" t="s">
        <v>83</v>
      </c>
      <c r="W65" s="13" t="s">
        <v>125</v>
      </c>
      <c r="X65" s="101"/>
      <c r="Y65" s="171">
        <f t="shared" ref="Y65:AB65" si="25">IF(Y64=0,0,Y63/Y64)</f>
        <v>0</v>
      </c>
      <c r="Z65" s="171">
        <f t="shared" si="25"/>
        <v>0</v>
      </c>
      <c r="AA65" s="171">
        <f t="shared" si="25"/>
        <v>0</v>
      </c>
      <c r="AB65" s="172">
        <f t="shared" ca="1" si="25"/>
        <v>31.268475300564855</v>
      </c>
      <c r="AC65" s="183"/>
      <c r="AD65" s="183"/>
      <c r="AE65" s="183"/>
      <c r="AF65" s="183"/>
      <c r="AG65" s="183"/>
      <c r="AH65" s="183"/>
    </row>
    <row r="66" spans="1:38" x14ac:dyDescent="0.25">
      <c r="B66" s="12" t="s">
        <v>99</v>
      </c>
      <c r="C66" s="13" t="str">
        <f>CONCATENATE("CENA pro vodné, stočné + ",Provozování!E93*100,"% DPH")</f>
        <v>CENA pro vodné, stočné + 15% DPH</v>
      </c>
      <c r="D66" s="13" t="s">
        <v>83</v>
      </c>
      <c r="E66" s="732" t="s">
        <v>126</v>
      </c>
      <c r="F66" s="733"/>
      <c r="G66" s="171">
        <f>G65*(1+Provozování!E$93)</f>
        <v>0</v>
      </c>
      <c r="H66" s="172">
        <f ca="1">H65*(1+Provozování!F$93)</f>
        <v>35.958746595649579</v>
      </c>
      <c r="K66" s="12" t="s">
        <v>99</v>
      </c>
      <c r="L66" s="13" t="str">
        <f>C66</f>
        <v>CENA pro vodné, stočné + 15% DPH</v>
      </c>
      <c r="M66" s="13" t="s">
        <v>83</v>
      </c>
      <c r="N66" s="732" t="s">
        <v>126</v>
      </c>
      <c r="O66" s="733"/>
      <c r="P66" s="171">
        <f>P65*(1+Provozování!E$93)</f>
        <v>0</v>
      </c>
      <c r="Q66" s="172">
        <f>Q65*(1+Provozování!F$93)</f>
        <v>0</v>
      </c>
      <c r="T66" s="12" t="s">
        <v>99</v>
      </c>
      <c r="U66" s="13" t="str">
        <f>C66</f>
        <v>CENA pro vodné, stočné + 15% DPH</v>
      </c>
      <c r="V66" s="13" t="s">
        <v>83</v>
      </c>
      <c r="W66" s="13" t="s">
        <v>126</v>
      </c>
      <c r="X66" s="101"/>
      <c r="Y66" s="171">
        <f>Y65*(1+Provozování!E$93)</f>
        <v>0</v>
      </c>
      <c r="Z66" s="171">
        <f>Z65*(1+Provozování!E$93)</f>
        <v>0</v>
      </c>
      <c r="AA66" s="171">
        <f>AA65*(1+Provozování!F$93)</f>
        <v>0</v>
      </c>
      <c r="AB66" s="172">
        <f ca="1">AB65*(1+Provozování!F$93)</f>
        <v>35.958746595649579</v>
      </c>
      <c r="AC66" s="183"/>
      <c r="AD66" s="183"/>
      <c r="AE66" s="183"/>
      <c r="AF66" s="183"/>
      <c r="AG66" s="183"/>
      <c r="AH66" s="183"/>
    </row>
    <row r="67" spans="1:38" ht="15" customHeight="1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T67" s="916" t="s">
        <v>203</v>
      </c>
      <c r="U67" s="916" t="s">
        <v>202</v>
      </c>
      <c r="V67" s="744" t="s">
        <v>10</v>
      </c>
      <c r="W67" s="919" t="s">
        <v>204</v>
      </c>
      <c r="X67" s="732"/>
      <c r="Y67" s="102" t="s">
        <v>206</v>
      </c>
      <c r="Z67" s="105" t="s">
        <v>207</v>
      </c>
      <c r="AA67" s="102" t="s">
        <v>206</v>
      </c>
      <c r="AB67" s="105" t="s">
        <v>207</v>
      </c>
      <c r="AC67" s="183"/>
      <c r="AD67" s="183"/>
      <c r="AE67" s="183"/>
      <c r="AF67" s="183"/>
      <c r="AG67" s="183"/>
      <c r="AH67" s="183"/>
    </row>
    <row r="68" spans="1:38" x14ac:dyDescent="0.25">
      <c r="B68" s="500" t="s">
        <v>354</v>
      </c>
      <c r="C68" s="499"/>
      <c r="D68" s="499"/>
      <c r="E68" s="499"/>
      <c r="F68" s="499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T68" s="917"/>
      <c r="U68" s="917"/>
      <c r="V68" s="745"/>
      <c r="W68" s="920">
        <v>0</v>
      </c>
      <c r="X68" s="921"/>
      <c r="Y68" s="103">
        <f>W4</f>
        <v>2020</v>
      </c>
      <c r="Z68" s="103">
        <f>W4</f>
        <v>2020</v>
      </c>
      <c r="AA68" s="103">
        <f>W4</f>
        <v>2020</v>
      </c>
      <c r="AB68" s="103">
        <f>W4</f>
        <v>2020</v>
      </c>
      <c r="AC68" s="183"/>
      <c r="AD68" s="183"/>
      <c r="AE68" s="183"/>
      <c r="AF68" s="183"/>
      <c r="AG68" s="183"/>
      <c r="AH68" s="183"/>
    </row>
    <row r="69" spans="1:38" x14ac:dyDescent="0.25">
      <c r="B69" s="500" t="s">
        <v>355</v>
      </c>
      <c r="C69" s="499"/>
      <c r="D69" s="499"/>
      <c r="E69" s="499"/>
      <c r="F69" s="499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T69" s="917"/>
      <c r="U69" s="917"/>
      <c r="V69" s="745"/>
      <c r="W69" s="919" t="s">
        <v>205</v>
      </c>
      <c r="X69" s="732"/>
      <c r="Y69" s="104" t="s">
        <v>208</v>
      </c>
      <c r="Z69" s="104" t="s">
        <v>208</v>
      </c>
      <c r="AA69" s="104" t="s">
        <v>209</v>
      </c>
      <c r="AB69" s="104" t="s">
        <v>209</v>
      </c>
      <c r="AC69" s="183"/>
      <c r="AD69" s="183"/>
      <c r="AE69" s="183"/>
      <c r="AF69" s="183"/>
      <c r="AG69" s="183"/>
      <c r="AH69" s="183"/>
    </row>
    <row r="70" spans="1:38" x14ac:dyDescent="0.25">
      <c r="B70" s="499"/>
      <c r="C70" s="499"/>
      <c r="D70" s="499"/>
      <c r="E70" s="499"/>
      <c r="F70" s="499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T70" s="918"/>
      <c r="U70" s="918"/>
      <c r="V70" s="746"/>
      <c r="W70" s="922">
        <v>0</v>
      </c>
      <c r="X70" s="920"/>
      <c r="Y70" s="597">
        <v>0</v>
      </c>
      <c r="Z70" s="597">
        <v>0</v>
      </c>
      <c r="AA70" s="597">
        <v>0</v>
      </c>
      <c r="AB70" s="597">
        <v>0</v>
      </c>
      <c r="AC70" s="183"/>
      <c r="AD70" s="183"/>
      <c r="AE70" s="183"/>
      <c r="AF70" s="183"/>
      <c r="AG70" s="183"/>
      <c r="AH70" s="183"/>
    </row>
    <row r="71" spans="1:38" x14ac:dyDescent="0.25">
      <c r="A71" s="342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AC71" s="183"/>
      <c r="AD71" s="183"/>
      <c r="AE71" s="183"/>
      <c r="AF71" s="183"/>
      <c r="AG71" s="183"/>
      <c r="AH71" s="183"/>
    </row>
    <row r="72" spans="1:38" x14ac:dyDescent="0.25">
      <c r="B72" s="726" t="s">
        <v>393</v>
      </c>
      <c r="C72" s="726"/>
      <c r="D72" s="726"/>
      <c r="E72" s="726"/>
      <c r="F72" s="726"/>
      <c r="G72" s="726"/>
      <c r="H72" s="726"/>
      <c r="K72" s="726" t="s">
        <v>394</v>
      </c>
      <c r="L72" s="726"/>
      <c r="M72" s="726"/>
      <c r="N72" s="726"/>
      <c r="O72" s="726"/>
      <c r="P72" s="726"/>
      <c r="Q72" s="726"/>
      <c r="T72" s="726" t="s">
        <v>210</v>
      </c>
      <c r="U72" s="726"/>
      <c r="V72" s="726"/>
      <c r="W72" s="726"/>
      <c r="X72" s="726"/>
      <c r="Y72" s="726"/>
      <c r="Z72" s="726"/>
      <c r="AA72" s="726"/>
      <c r="AB72" s="726"/>
      <c r="AC72" s="183"/>
      <c r="AD72" s="183"/>
      <c r="AE72" s="183"/>
      <c r="AF72" s="183"/>
      <c r="AG72" s="446"/>
      <c r="AH72" s="446"/>
    </row>
    <row r="73" spans="1:38" x14ac:dyDescent="0.25">
      <c r="C73" s="362"/>
      <c r="E73" s="25"/>
      <c r="F73" s="25"/>
      <c r="L73" s="25"/>
      <c r="N73" s="25"/>
      <c r="T73" s="950" t="s">
        <v>395</v>
      </c>
      <c r="U73" s="950"/>
      <c r="V73" s="950"/>
      <c r="W73" s="950"/>
      <c r="X73" s="950"/>
      <c r="Y73" s="950"/>
      <c r="Z73" s="950"/>
      <c r="AA73" s="950"/>
      <c r="AB73" s="950"/>
      <c r="AC73" s="183"/>
      <c r="AD73" s="183"/>
      <c r="AE73" s="183"/>
      <c r="AF73" s="183"/>
      <c r="AG73" s="183"/>
      <c r="AH73" s="183"/>
    </row>
    <row r="74" spans="1:38" x14ac:dyDescent="0.25">
      <c r="C74" s="362" t="s">
        <v>119</v>
      </c>
      <c r="D74" s="364">
        <f>D4+1</f>
        <v>2021</v>
      </c>
      <c r="E74" s="25"/>
      <c r="F74" s="362" t="s">
        <v>278</v>
      </c>
      <c r="G74" s="365">
        <f>Výpočty!I$56</f>
        <v>44197</v>
      </c>
      <c r="H74" s="365" t="str">
        <f>IF(Výpočty!I$57="-"," ",CONCATENATE("- ",DAY(Výpočty!I$57),".",MONTH(Výpočty!I$57),".",D74))</f>
        <v>- 31.12.2021</v>
      </c>
      <c r="L74" s="362" t="s">
        <v>119</v>
      </c>
      <c r="M74" s="364">
        <f>D74</f>
        <v>2021</v>
      </c>
      <c r="O74" s="362" t="s">
        <v>278</v>
      </c>
      <c r="P74" s="475" t="str">
        <f>Výpočty!I$52</f>
        <v>-</v>
      </c>
      <c r="Q74" s="475" t="str">
        <f>IF(P74="-"," ",H74)</f>
        <v xml:space="preserve"> </v>
      </c>
      <c r="T74" s="441"/>
      <c r="U74" s="441"/>
      <c r="V74" s="451" t="s">
        <v>195</v>
      </c>
      <c r="W74" s="364">
        <f>D74</f>
        <v>2021</v>
      </c>
      <c r="Z74" s="362" t="s">
        <v>278</v>
      </c>
      <c r="AA74" s="365">
        <f>G74</f>
        <v>44197</v>
      </c>
      <c r="AB74" s="365" t="str">
        <f>H74</f>
        <v>- 31.12.2021</v>
      </c>
      <c r="AC74" s="183"/>
      <c r="AD74" s="183"/>
      <c r="AE74" s="183"/>
      <c r="AF74" s="183"/>
      <c r="AG74" s="183"/>
      <c r="AH74" s="183"/>
    </row>
    <row r="75" spans="1:38" x14ac:dyDescent="0.25">
      <c r="B75" s="13" t="s">
        <v>74</v>
      </c>
      <c r="C75" s="13" t="s">
        <v>105</v>
      </c>
      <c r="D75" s="715" t="str">
        <f t="shared" ref="D75:D80" si="26">D5</f>
        <v/>
      </c>
      <c r="E75" s="716"/>
      <c r="F75" s="716"/>
      <c r="G75" s="716"/>
      <c r="H75" s="717"/>
      <c r="K75" s="13" t="s">
        <v>74</v>
      </c>
      <c r="L75" s="13" t="s">
        <v>105</v>
      </c>
      <c r="M75" s="949" t="str">
        <f t="shared" ref="M75:M77" si="27">D75</f>
        <v/>
      </c>
      <c r="N75" s="738"/>
      <c r="O75" s="738"/>
      <c r="P75" s="738"/>
      <c r="Q75" s="738"/>
      <c r="T75" s="13" t="s">
        <v>74</v>
      </c>
      <c r="U75" s="13" t="s">
        <v>105</v>
      </c>
      <c r="V75" s="949" t="str">
        <f t="shared" ref="V75:V77" si="28">D75</f>
        <v/>
      </c>
      <c r="W75" s="738"/>
      <c r="X75" s="738"/>
      <c r="Y75" s="738"/>
      <c r="Z75" s="738"/>
      <c r="AA75" s="738"/>
      <c r="AB75" s="738"/>
      <c r="AC75" s="183"/>
      <c r="AD75" s="183"/>
    </row>
    <row r="76" spans="1:38" x14ac:dyDescent="0.25">
      <c r="B76" s="13" t="s">
        <v>100</v>
      </c>
      <c r="C76" s="13" t="s">
        <v>106</v>
      </c>
      <c r="D76" s="715" t="str">
        <f t="shared" si="26"/>
        <v/>
      </c>
      <c r="E76" s="716"/>
      <c r="F76" s="716"/>
      <c r="G76" s="716"/>
      <c r="H76" s="717"/>
      <c r="K76" s="13" t="s">
        <v>100</v>
      </c>
      <c r="L76" s="13" t="s">
        <v>106</v>
      </c>
      <c r="M76" s="941" t="str">
        <f t="shared" si="27"/>
        <v/>
      </c>
      <c r="N76" s="942"/>
      <c r="O76" s="942"/>
      <c r="P76" s="942"/>
      <c r="Q76" s="943"/>
      <c r="T76" s="13" t="s">
        <v>100</v>
      </c>
      <c r="U76" s="13" t="s">
        <v>106</v>
      </c>
      <c r="V76" s="941" t="str">
        <f t="shared" si="28"/>
        <v/>
      </c>
      <c r="W76" s="942"/>
      <c r="X76" s="942"/>
      <c r="Y76" s="942"/>
      <c r="Z76" s="942"/>
      <c r="AA76" s="942"/>
      <c r="AB76" s="943"/>
      <c r="AC76" s="183"/>
      <c r="AD76" s="183"/>
    </row>
    <row r="77" spans="1:38" x14ac:dyDescent="0.25">
      <c r="B77" s="13" t="s">
        <v>101</v>
      </c>
      <c r="C77" s="13" t="s">
        <v>107</v>
      </c>
      <c r="D77" s="715" t="str">
        <f t="shared" si="26"/>
        <v xml:space="preserve">Město Kraslice, IČ </v>
      </c>
      <c r="E77" s="716"/>
      <c r="F77" s="716"/>
      <c r="G77" s="716"/>
      <c r="H77" s="717"/>
      <c r="K77" s="13" t="s">
        <v>101</v>
      </c>
      <c r="L77" s="13" t="s">
        <v>107</v>
      </c>
      <c r="M77" s="941" t="str">
        <f t="shared" si="27"/>
        <v xml:space="preserve">Město Kraslice, IČ </v>
      </c>
      <c r="N77" s="942"/>
      <c r="O77" s="942"/>
      <c r="P77" s="942"/>
      <c r="Q77" s="943"/>
      <c r="T77" s="13" t="s">
        <v>101</v>
      </c>
      <c r="U77" s="13" t="s">
        <v>107</v>
      </c>
      <c r="V77" s="941" t="str">
        <f t="shared" si="28"/>
        <v xml:space="preserve">Město Kraslice, IČ </v>
      </c>
      <c r="W77" s="942"/>
      <c r="X77" s="942"/>
      <c r="Y77" s="942"/>
      <c r="Z77" s="942"/>
      <c r="AA77" s="942"/>
      <c r="AB77" s="943"/>
      <c r="AC77" s="183"/>
      <c r="AD77" s="183"/>
      <c r="AK77" s="183"/>
      <c r="AL77" s="183"/>
    </row>
    <row r="78" spans="1:38" x14ac:dyDescent="0.25">
      <c r="B78" s="13" t="s">
        <v>102</v>
      </c>
      <c r="C78" s="13" t="s">
        <v>109</v>
      </c>
      <c r="D78" s="923" t="str">
        <f t="shared" si="26"/>
        <v>[vyplnit]</v>
      </c>
      <c r="E78" s="924"/>
      <c r="F78" s="924"/>
      <c r="G78" s="924"/>
      <c r="H78" s="925"/>
      <c r="K78" s="13" t="s">
        <v>102</v>
      </c>
      <c r="L78" s="13" t="s">
        <v>109</v>
      </c>
      <c r="M78" s="926" t="str">
        <f>IF($D78="[vyplnit]"," ",$D78)</f>
        <v xml:space="preserve"> </v>
      </c>
      <c r="N78" s="927"/>
      <c r="O78" s="927"/>
      <c r="P78" s="927"/>
      <c r="Q78" s="928"/>
      <c r="T78" s="13" t="s">
        <v>102</v>
      </c>
      <c r="U78" s="13" t="s">
        <v>109</v>
      </c>
      <c r="V78" s="933" t="str">
        <f>IF($D78="[vyplnit]"," ",$D78)</f>
        <v xml:space="preserve"> </v>
      </c>
      <c r="W78" s="933"/>
      <c r="X78" s="933"/>
      <c r="Y78" s="933"/>
      <c r="Z78" s="933"/>
      <c r="AA78" s="933"/>
      <c r="AB78" s="933"/>
      <c r="AC78" s="183"/>
      <c r="AD78" s="183"/>
      <c r="AK78" s="183"/>
      <c r="AL78" s="183"/>
    </row>
    <row r="79" spans="1:38" x14ac:dyDescent="0.25">
      <c r="B79" s="13" t="s">
        <v>103</v>
      </c>
      <c r="C79" s="13" t="s">
        <v>108</v>
      </c>
      <c r="D79" s="923" t="str">
        <f t="shared" si="26"/>
        <v>[vyplnit]</v>
      </c>
      <c r="E79" s="924"/>
      <c r="F79" s="924"/>
      <c r="G79" s="924"/>
      <c r="H79" s="925"/>
      <c r="K79" s="13" t="s">
        <v>103</v>
      </c>
      <c r="L79" s="13" t="s">
        <v>108</v>
      </c>
      <c r="M79" s="926" t="str">
        <f t="shared" ref="M79:M80" si="29">IF($D79="[vyplnit]"," ",$D79)</f>
        <v xml:space="preserve"> </v>
      </c>
      <c r="N79" s="927"/>
      <c r="O79" s="927"/>
      <c r="P79" s="927"/>
      <c r="Q79" s="928"/>
      <c r="T79" s="13" t="s">
        <v>103</v>
      </c>
      <c r="U79" s="13" t="s">
        <v>108</v>
      </c>
      <c r="V79" s="933" t="str">
        <f t="shared" ref="V79:V80" si="30">IF($D79="[vyplnit]"," ",$D79)</f>
        <v xml:space="preserve"> </v>
      </c>
      <c r="W79" s="933"/>
      <c r="X79" s="933"/>
      <c r="Y79" s="933"/>
      <c r="Z79" s="933"/>
      <c r="AA79" s="933"/>
      <c r="AB79" s="933"/>
      <c r="AC79" s="183"/>
      <c r="AD79" s="183"/>
      <c r="AK79" s="183"/>
      <c r="AL79" s="183"/>
    </row>
    <row r="80" spans="1:38" x14ac:dyDescent="0.25">
      <c r="B80" s="13" t="s">
        <v>104</v>
      </c>
      <c r="C80" s="13" t="s">
        <v>110</v>
      </c>
      <c r="D80" s="923" t="str">
        <f t="shared" si="26"/>
        <v>[vyplnit]</v>
      </c>
      <c r="E80" s="924"/>
      <c r="F80" s="924"/>
      <c r="G80" s="924"/>
      <c r="H80" s="925"/>
      <c r="K80" s="13" t="s">
        <v>104</v>
      </c>
      <c r="L80" s="13" t="s">
        <v>110</v>
      </c>
      <c r="M80" s="926" t="str">
        <f t="shared" si="29"/>
        <v xml:space="preserve"> </v>
      </c>
      <c r="N80" s="927"/>
      <c r="O80" s="927"/>
      <c r="P80" s="927"/>
      <c r="Q80" s="928"/>
      <c r="T80" s="13" t="s">
        <v>104</v>
      </c>
      <c r="U80" s="13" t="s">
        <v>110</v>
      </c>
      <c r="V80" s="933" t="str">
        <f t="shared" si="30"/>
        <v xml:space="preserve"> </v>
      </c>
      <c r="W80" s="933"/>
      <c r="X80" s="933"/>
      <c r="Y80" s="933"/>
      <c r="Z80" s="933"/>
      <c r="AA80" s="933"/>
      <c r="AB80" s="933"/>
      <c r="AC80" s="183"/>
      <c r="AD80" s="183"/>
      <c r="AK80" s="183"/>
      <c r="AL80" s="183"/>
    </row>
    <row r="81" spans="2:40" x14ac:dyDescent="0.25">
      <c r="AC81" s="183"/>
      <c r="AK81" s="183"/>
      <c r="AL81" s="183"/>
    </row>
    <row r="82" spans="2:40" ht="15" customHeight="1" x14ac:dyDescent="0.25">
      <c r="B82" s="932" t="s">
        <v>5</v>
      </c>
      <c r="C82" s="721" t="s">
        <v>0</v>
      </c>
      <c r="D82" s="722"/>
      <c r="E82" s="722"/>
      <c r="F82" s="722"/>
      <c r="G82" s="722"/>
      <c r="H82" s="725"/>
      <c r="K82" s="932" t="s">
        <v>5</v>
      </c>
      <c r="L82" s="721" t="s">
        <v>0</v>
      </c>
      <c r="M82" s="722"/>
      <c r="N82" s="722"/>
      <c r="O82" s="722"/>
      <c r="P82" s="722"/>
      <c r="Q82" s="725"/>
      <c r="T82" s="932" t="s">
        <v>5</v>
      </c>
      <c r="U82" s="721" t="s">
        <v>0</v>
      </c>
      <c r="V82" s="722"/>
      <c r="W82" s="722"/>
      <c r="X82" s="722"/>
      <c r="Y82" s="722"/>
      <c r="Z82" s="722"/>
      <c r="AA82" s="722"/>
      <c r="AB82" s="725"/>
      <c r="AC82" s="183"/>
      <c r="AK82" s="183"/>
      <c r="AL82" s="183"/>
    </row>
    <row r="83" spans="2:40" x14ac:dyDescent="0.25">
      <c r="B83" s="930"/>
      <c r="C83" s="932" t="s">
        <v>1</v>
      </c>
      <c r="D83" s="929" t="s">
        <v>173</v>
      </c>
      <c r="E83" s="721" t="s">
        <v>3</v>
      </c>
      <c r="F83" s="722"/>
      <c r="G83" s="721" t="s">
        <v>4</v>
      </c>
      <c r="H83" s="725"/>
      <c r="K83" s="930"/>
      <c r="L83" s="932" t="s">
        <v>1</v>
      </c>
      <c r="M83" s="929" t="s">
        <v>173</v>
      </c>
      <c r="N83" s="721" t="s">
        <v>3</v>
      </c>
      <c r="O83" s="722"/>
      <c r="P83" s="721" t="s">
        <v>4</v>
      </c>
      <c r="Q83" s="725"/>
      <c r="T83" s="930"/>
      <c r="U83" s="932" t="s">
        <v>1</v>
      </c>
      <c r="V83" s="929" t="s">
        <v>173</v>
      </c>
      <c r="W83" s="721" t="s">
        <v>3</v>
      </c>
      <c r="X83" s="722"/>
      <c r="Y83" s="722"/>
      <c r="Z83" s="721" t="s">
        <v>4</v>
      </c>
      <c r="AA83" s="722"/>
      <c r="AB83" s="725"/>
      <c r="AC83" s="183"/>
      <c r="AK83" s="183"/>
      <c r="AL83" s="183"/>
    </row>
    <row r="84" spans="2:40" x14ac:dyDescent="0.25">
      <c r="B84" s="930"/>
      <c r="C84" s="930"/>
      <c r="D84" s="930"/>
      <c r="E84" s="30">
        <f>D74-1</f>
        <v>2020</v>
      </c>
      <c r="F84" s="30">
        <f>D74</f>
        <v>2021</v>
      </c>
      <c r="G84" s="30">
        <f>D74-1</f>
        <v>2020</v>
      </c>
      <c r="H84" s="30">
        <f>D74</f>
        <v>2021</v>
      </c>
      <c r="K84" s="930"/>
      <c r="L84" s="930"/>
      <c r="M84" s="930"/>
      <c r="N84" s="30">
        <f>M74-1</f>
        <v>2020</v>
      </c>
      <c r="O84" s="30">
        <f>M74</f>
        <v>2021</v>
      </c>
      <c r="P84" s="30">
        <f>M74-1</f>
        <v>2020</v>
      </c>
      <c r="Q84" s="30">
        <f>M74</f>
        <v>2021</v>
      </c>
      <c r="T84" s="930"/>
      <c r="U84" s="930"/>
      <c r="V84" s="930"/>
      <c r="W84" s="30">
        <f>W74</f>
        <v>2021</v>
      </c>
      <c r="X84" s="30">
        <f>W74</f>
        <v>2021</v>
      </c>
      <c r="Y84" s="30">
        <f>W74</f>
        <v>2021</v>
      </c>
      <c r="Z84" s="30">
        <f>W74</f>
        <v>2021</v>
      </c>
      <c r="AA84" s="30">
        <f>W74</f>
        <v>2021</v>
      </c>
      <c r="AB84" s="30">
        <f>W74</f>
        <v>2021</v>
      </c>
      <c r="AC84" s="183"/>
      <c r="AK84" s="183"/>
      <c r="AL84" s="183"/>
    </row>
    <row r="85" spans="2:40" x14ac:dyDescent="0.25">
      <c r="B85" s="931"/>
      <c r="C85" s="931"/>
      <c r="D85" s="931"/>
      <c r="E85" s="7" t="s">
        <v>199</v>
      </c>
      <c r="F85" s="7" t="s">
        <v>114</v>
      </c>
      <c r="G85" s="7" t="s">
        <v>199</v>
      </c>
      <c r="H85" s="19" t="s">
        <v>114</v>
      </c>
      <c r="K85" s="931"/>
      <c r="L85" s="931"/>
      <c r="M85" s="931"/>
      <c r="N85" s="7" t="s">
        <v>199</v>
      </c>
      <c r="O85" s="7" t="s">
        <v>114</v>
      </c>
      <c r="P85" s="7" t="s">
        <v>199</v>
      </c>
      <c r="Q85" s="19" t="s">
        <v>114</v>
      </c>
      <c r="T85" s="931"/>
      <c r="U85" s="931"/>
      <c r="V85" s="931"/>
      <c r="W85" s="7" t="s">
        <v>198</v>
      </c>
      <c r="X85" s="7" t="s">
        <v>114</v>
      </c>
      <c r="Y85" s="7" t="s">
        <v>197</v>
      </c>
      <c r="Z85" s="7" t="s">
        <v>198</v>
      </c>
      <c r="AA85" s="7" t="s">
        <v>114</v>
      </c>
      <c r="AB85" s="19" t="s">
        <v>197</v>
      </c>
      <c r="AC85" s="183"/>
      <c r="AK85" s="183"/>
      <c r="AL85" s="183"/>
    </row>
    <row r="86" spans="2:40" x14ac:dyDescent="0.25">
      <c r="B86" s="11">
        <v>1</v>
      </c>
      <c r="C86" s="11">
        <v>2</v>
      </c>
      <c r="D86" s="11" t="s">
        <v>111</v>
      </c>
      <c r="E86" s="11">
        <v>3</v>
      </c>
      <c r="F86" s="11">
        <v>4</v>
      </c>
      <c r="G86" s="11">
        <v>6</v>
      </c>
      <c r="H86" s="22">
        <v>7</v>
      </c>
      <c r="K86" s="11">
        <v>1</v>
      </c>
      <c r="L86" s="11">
        <v>2</v>
      </c>
      <c r="M86" s="11" t="s">
        <v>111</v>
      </c>
      <c r="N86" s="11">
        <v>3</v>
      </c>
      <c r="O86" s="11">
        <v>4</v>
      </c>
      <c r="P86" s="11">
        <v>6</v>
      </c>
      <c r="Q86" s="22">
        <v>7</v>
      </c>
      <c r="T86" s="11">
        <v>1</v>
      </c>
      <c r="U86" s="11">
        <v>2</v>
      </c>
      <c r="V86" s="11" t="s">
        <v>111</v>
      </c>
      <c r="W86" s="11">
        <v>3</v>
      </c>
      <c r="X86" s="11">
        <v>4</v>
      </c>
      <c r="Y86" s="11">
        <v>5</v>
      </c>
      <c r="Z86" s="11">
        <v>6</v>
      </c>
      <c r="AA86" s="11">
        <v>7</v>
      </c>
      <c r="AB86" s="22">
        <v>8</v>
      </c>
      <c r="AC86" s="183"/>
      <c r="AK86" s="183"/>
      <c r="AL86" s="183"/>
    </row>
    <row r="87" spans="2:40" x14ac:dyDescent="0.25">
      <c r="B87" s="9" t="s">
        <v>8</v>
      </c>
      <c r="C87" s="10" t="s">
        <v>9</v>
      </c>
      <c r="D87" s="11" t="s">
        <v>10</v>
      </c>
      <c r="E87" s="46">
        <f>SUM(E88:E91)</f>
        <v>0</v>
      </c>
      <c r="F87" s="46">
        <f>SUM(F88:F91)</f>
        <v>0</v>
      </c>
      <c r="G87" s="46">
        <f>SUM(G88:G91)</f>
        <v>0</v>
      </c>
      <c r="H87" s="98">
        <f>SUM(H88:H91)</f>
        <v>0.28999999999999998</v>
      </c>
      <c r="K87" s="9" t="s">
        <v>8</v>
      </c>
      <c r="L87" s="10" t="s">
        <v>9</v>
      </c>
      <c r="M87" s="11" t="s">
        <v>10</v>
      </c>
      <c r="N87" s="46">
        <f>SUM(N88:N91)</f>
        <v>0</v>
      </c>
      <c r="O87" s="46">
        <f>SUM(O88:O91)</f>
        <v>0</v>
      </c>
      <c r="P87" s="46">
        <f>SUM(P88:P91)</f>
        <v>0</v>
      </c>
      <c r="Q87" s="98">
        <f>SUM(Q88:Q91)</f>
        <v>0</v>
      </c>
      <c r="T87" s="9" t="s">
        <v>8</v>
      </c>
      <c r="U87" s="10" t="s">
        <v>9</v>
      </c>
      <c r="V87" s="11" t="s">
        <v>10</v>
      </c>
      <c r="W87" s="98">
        <f t="shared" ref="W87:AB87" si="31">SUM(W88:W91)</f>
        <v>0</v>
      </c>
      <c r="X87" s="98">
        <f t="shared" si="31"/>
        <v>0</v>
      </c>
      <c r="Y87" s="98">
        <f t="shared" si="31"/>
        <v>0</v>
      </c>
      <c r="Z87" s="98">
        <f t="shared" si="31"/>
        <v>0</v>
      </c>
      <c r="AA87" s="98">
        <f t="shared" si="31"/>
        <v>0.28999999999999998</v>
      </c>
      <c r="AB87" s="98">
        <f t="shared" si="31"/>
        <v>-0.28999999999999998</v>
      </c>
      <c r="AC87" s="183"/>
      <c r="AK87" s="183"/>
      <c r="AL87" s="183"/>
    </row>
    <row r="88" spans="2:40" x14ac:dyDescent="0.25">
      <c r="B88" s="12" t="s">
        <v>11</v>
      </c>
      <c r="C88" s="13" t="s">
        <v>12</v>
      </c>
      <c r="D88" s="3" t="s">
        <v>10</v>
      </c>
      <c r="E88" s="49">
        <v>0</v>
      </c>
      <c r="F88" s="49">
        <f>IF(YEAR(Postup!$H$25)&gt;$D$74,Provozování!O23,IF(AND(DAY(Postup!$H$25)=31,MONTH(Postup!$H$25)=12,YEAR(Postup!$H$25)=$D$74),Provozování!O23,IF(YEAR(Postup!$H$25)=$D$74,Provozování!$BL23,0)))</f>
        <v>0</v>
      </c>
      <c r="G88" s="49">
        <v>0</v>
      </c>
      <c r="H88" s="442">
        <v>0</v>
      </c>
      <c r="K88" s="12" t="s">
        <v>11</v>
      </c>
      <c r="L88" s="13" t="s">
        <v>12</v>
      </c>
      <c r="M88" s="3" t="s">
        <v>10</v>
      </c>
      <c r="N88" s="49">
        <v>0</v>
      </c>
      <c r="O88" s="49">
        <f>IF(Provozování!$Q$16="Neaktivní",0,Provozování!Q23)</f>
        <v>0</v>
      </c>
      <c r="P88" s="49">
        <v>0</v>
      </c>
      <c r="Q88" s="442">
        <v>0</v>
      </c>
      <c r="T88" s="12" t="s">
        <v>11</v>
      </c>
      <c r="U88" s="13" t="s">
        <v>12</v>
      </c>
      <c r="V88" s="3" t="s">
        <v>10</v>
      </c>
      <c r="W88" s="595">
        <v>0</v>
      </c>
      <c r="X88" s="49">
        <f>IF(Provozování!$Q$16="Neaktivní",F88,F88*Výpočty!$I$58+O88)</f>
        <v>0</v>
      </c>
      <c r="Y88" s="49">
        <f>W88-X88</f>
        <v>0</v>
      </c>
      <c r="Z88" s="445">
        <v>0</v>
      </c>
      <c r="AA88" s="445">
        <v>0</v>
      </c>
      <c r="AB88" s="442">
        <v>0</v>
      </c>
      <c r="AC88" s="183"/>
      <c r="AK88" s="183"/>
      <c r="AL88" s="183"/>
    </row>
    <row r="89" spans="2:40" x14ac:dyDescent="0.25">
      <c r="B89" s="12" t="s">
        <v>13</v>
      </c>
      <c r="C89" s="12" t="s">
        <v>14</v>
      </c>
      <c r="D89" s="3" t="s">
        <v>10</v>
      </c>
      <c r="E89" s="58">
        <v>0</v>
      </c>
      <c r="F89" s="49">
        <f>IF(YEAR(Postup!$H$25)&gt;$D$74,Provozování!O24,IF(AND(DAY(Postup!$H$25)=31,MONTH(Postup!$H$25)=12,YEAR(Postup!$H$25)=$D$74),Provozování!O24,IF(YEAR(Postup!$H$25)=$D$74,Provozování!$BL24,0)))</f>
        <v>0</v>
      </c>
      <c r="G89" s="58">
        <v>0</v>
      </c>
      <c r="H89" s="32">
        <f>IF(YEAR(Postup!$H$25)&gt;$D$74,Provozování!P24,IF(AND(DAY(Postup!$H$25)=31,MONTH(Postup!$H$25)=12,YEAR(Postup!$H$25)=$D$74),Provozování!P24,IF(YEAR(Postup!$H$25)=$D$74,Provozování!$BM24,0)))</f>
        <v>0.28999999999999998</v>
      </c>
      <c r="K89" s="12" t="s">
        <v>13</v>
      </c>
      <c r="L89" s="12" t="s">
        <v>14</v>
      </c>
      <c r="M89" s="3" t="s">
        <v>10</v>
      </c>
      <c r="N89" s="58">
        <v>0</v>
      </c>
      <c r="O89" s="49">
        <f>IF(Provozování!$Q$16="Neaktivní",0,Provozování!Q24)</f>
        <v>0</v>
      </c>
      <c r="P89" s="58">
        <v>0</v>
      </c>
      <c r="Q89" s="59">
        <f>IF(Provozování!$Q$16="Neaktivní",0,Provozování!R24)</f>
        <v>0</v>
      </c>
      <c r="T89" s="12" t="s">
        <v>13</v>
      </c>
      <c r="U89" s="12" t="s">
        <v>14</v>
      </c>
      <c r="V89" s="3" t="s">
        <v>10</v>
      </c>
      <c r="W89" s="596">
        <v>0</v>
      </c>
      <c r="X89" s="49">
        <f>IF(Provozování!$Q$16="Neaktivní",F89,F89*Výpočty!$I$58+O89)</f>
        <v>0</v>
      </c>
      <c r="Y89" s="49">
        <f t="shared" ref="Y89:Y91" si="32">W89-X89</f>
        <v>0</v>
      </c>
      <c r="Z89" s="596">
        <v>0</v>
      </c>
      <c r="AA89" s="49">
        <f>IF(Provozování!$Q$16="Neaktivní",H89,H89*Výpočty!$I$58+Q89)</f>
        <v>0.28999999999999998</v>
      </c>
      <c r="AB89" s="32">
        <f t="shared" ref="AB89:AB91" si="33">Z89-AA89</f>
        <v>-0.28999999999999998</v>
      </c>
      <c r="AC89" s="183"/>
      <c r="AK89" s="183"/>
      <c r="AL89" s="183"/>
    </row>
    <row r="90" spans="2:40" x14ac:dyDescent="0.25">
      <c r="B90" s="12" t="s">
        <v>15</v>
      </c>
      <c r="C90" s="13" t="s">
        <v>16</v>
      </c>
      <c r="D90" s="3" t="s">
        <v>10</v>
      </c>
      <c r="E90" s="32">
        <v>0</v>
      </c>
      <c r="F90" s="589">
        <f>IF(YEAR(Postup!$H$25)&gt;$D$74,Provozování!O25,IF(AND(DAY(Postup!$H$25)=31,MONTH(Postup!$H$25)=12,YEAR(Postup!$H$25)=$D$74),Provozování!O25,IF(YEAR(Postup!$H$25)=$D$74,Provozování!$BL25,0)))</f>
        <v>0</v>
      </c>
      <c r="G90" s="32">
        <v>0</v>
      </c>
      <c r="H90" s="590">
        <f>IF(YEAR(Postup!$H$25)&gt;$D$74,Provozování!P25,IF(AND(DAY(Postup!$H$25)=31,MONTH(Postup!$H$25)=12,YEAR(Postup!$H$25)=$D$74),Provozování!P25,IF(YEAR(Postup!$H$25)=$D$74,Provozování!$BM25,0)))</f>
        <v>0</v>
      </c>
      <c r="K90" s="12" t="s">
        <v>15</v>
      </c>
      <c r="L90" s="13" t="s">
        <v>16</v>
      </c>
      <c r="M90" s="3" t="s">
        <v>10</v>
      </c>
      <c r="N90" s="32">
        <v>0</v>
      </c>
      <c r="O90" s="444">
        <f>IF(Provozování!$Q$16="Neaktivní",0,Provozování!Q25)</f>
        <v>0</v>
      </c>
      <c r="P90" s="32">
        <v>0</v>
      </c>
      <c r="Q90" s="443">
        <f>IF(Provozování!$Q$16="Neaktivní",0,Provozování!R25)</f>
        <v>0</v>
      </c>
      <c r="T90" s="12" t="s">
        <v>15</v>
      </c>
      <c r="U90" s="13" t="s">
        <v>16</v>
      </c>
      <c r="V90" s="3" t="s">
        <v>10</v>
      </c>
      <c r="W90" s="597">
        <v>0</v>
      </c>
      <c r="X90" s="49">
        <f>IF(Provozování!$Q$16="Neaktivní",F90,F90*Výpočty!$I$58+O90)</f>
        <v>0</v>
      </c>
      <c r="Y90" s="49">
        <f t="shared" si="32"/>
        <v>0</v>
      </c>
      <c r="Z90" s="597">
        <v>0</v>
      </c>
      <c r="AA90" s="49">
        <f>IF(Provozování!$Q$16="Neaktivní",H90,H90*Výpočty!$I$58+Q90)</f>
        <v>0</v>
      </c>
      <c r="AB90" s="32">
        <f t="shared" si="33"/>
        <v>0</v>
      </c>
      <c r="AC90" s="183"/>
      <c r="AK90" s="183"/>
      <c r="AL90" s="183"/>
    </row>
    <row r="91" spans="2:40" x14ac:dyDescent="0.25">
      <c r="B91" s="12" t="s">
        <v>17</v>
      </c>
      <c r="C91" s="13" t="s">
        <v>18</v>
      </c>
      <c r="D91" s="3" t="s">
        <v>10</v>
      </c>
      <c r="E91" s="99">
        <v>0</v>
      </c>
      <c r="F91" s="589">
        <f>IF(YEAR(Postup!$H$25)&gt;$D$74,Provozování!O26,IF(AND(DAY(Postup!$H$25)=31,MONTH(Postup!$H$25)=12,YEAR(Postup!$H$25)=$D$74),Provozování!O26,IF(YEAR(Postup!$H$25)=$D$74,Provozování!$BL26,0)))</f>
        <v>0</v>
      </c>
      <c r="G91" s="99">
        <v>0</v>
      </c>
      <c r="H91" s="590">
        <f>IF(YEAR(Postup!$H$25)&gt;$D$74,Provozování!P26,IF(AND(DAY(Postup!$H$25)=31,MONTH(Postup!$H$25)=12,YEAR(Postup!$H$25)=$D$74),Provozování!P26,IF(YEAR(Postup!$H$25)=$D$74,Provozování!$BM26,0)))</f>
        <v>0</v>
      </c>
      <c r="K91" s="12" t="s">
        <v>17</v>
      </c>
      <c r="L91" s="13" t="s">
        <v>18</v>
      </c>
      <c r="M91" s="3" t="s">
        <v>10</v>
      </c>
      <c r="N91" s="99">
        <v>0</v>
      </c>
      <c r="O91" s="444">
        <f>IF(Provozování!$Q$16="Neaktivní",0,Provozování!Q26)</f>
        <v>0</v>
      </c>
      <c r="P91" s="99">
        <v>0</v>
      </c>
      <c r="Q91" s="443">
        <f>IF(Provozování!$Q$16="Neaktivní",0,Provozování!R26)</f>
        <v>0</v>
      </c>
      <c r="T91" s="12" t="s">
        <v>17</v>
      </c>
      <c r="U91" s="13" t="s">
        <v>18</v>
      </c>
      <c r="V91" s="3" t="s">
        <v>10</v>
      </c>
      <c r="W91" s="598">
        <v>0</v>
      </c>
      <c r="X91" s="49">
        <f>IF(Provozování!$Q$16="Neaktivní",F91,F91*Výpočty!$I$58+O91)</f>
        <v>0</v>
      </c>
      <c r="Y91" s="49">
        <f t="shared" si="32"/>
        <v>0</v>
      </c>
      <c r="Z91" s="598">
        <v>0</v>
      </c>
      <c r="AA91" s="49">
        <f>IF(Provozování!$Q$16="Neaktivní",H91,H91*Výpočty!$I$58+Q91)</f>
        <v>0</v>
      </c>
      <c r="AB91" s="32">
        <f t="shared" si="33"/>
        <v>0</v>
      </c>
      <c r="AC91" s="183"/>
      <c r="AK91" s="183"/>
      <c r="AL91" s="183"/>
    </row>
    <row r="92" spans="2:40" x14ac:dyDescent="0.25">
      <c r="B92" s="9" t="s">
        <v>19</v>
      </c>
      <c r="C92" s="10" t="s">
        <v>20</v>
      </c>
      <c r="D92" s="11" t="s">
        <v>10</v>
      </c>
      <c r="E92" s="100">
        <f>SUM(E93:E94)</f>
        <v>0</v>
      </c>
      <c r="F92" s="100">
        <f>SUM(F93:F94)</f>
        <v>0</v>
      </c>
      <c r="G92" s="100">
        <f>SUM(G93:G94)</f>
        <v>0</v>
      </c>
      <c r="H92" s="98">
        <f>SUM(H93:H94)</f>
        <v>0</v>
      </c>
      <c r="K92" s="9" t="s">
        <v>19</v>
      </c>
      <c r="L92" s="10" t="s">
        <v>20</v>
      </c>
      <c r="M92" s="11" t="s">
        <v>10</v>
      </c>
      <c r="N92" s="100">
        <f>SUM(N93:N94)</f>
        <v>0</v>
      </c>
      <c r="O92" s="100">
        <f>SUM(O93:O94)</f>
        <v>0</v>
      </c>
      <c r="P92" s="100">
        <f>SUM(P93:P94)</f>
        <v>0</v>
      </c>
      <c r="Q92" s="98">
        <f>SUM(Q93:Q94)</f>
        <v>0</v>
      </c>
      <c r="T92" s="9" t="s">
        <v>19</v>
      </c>
      <c r="U92" s="10" t="s">
        <v>20</v>
      </c>
      <c r="V92" s="11" t="s">
        <v>10</v>
      </c>
      <c r="W92" s="98">
        <f t="shared" ref="W92:AB92" si="34">SUM(W93:W94)</f>
        <v>0</v>
      </c>
      <c r="X92" s="98">
        <f t="shared" si="34"/>
        <v>0</v>
      </c>
      <c r="Y92" s="98">
        <f t="shared" si="34"/>
        <v>0</v>
      </c>
      <c r="Z92" s="98">
        <f t="shared" si="34"/>
        <v>0</v>
      </c>
      <c r="AA92" s="98">
        <f t="shared" si="34"/>
        <v>0</v>
      </c>
      <c r="AB92" s="98">
        <f t="shared" si="34"/>
        <v>0</v>
      </c>
      <c r="AC92" s="183"/>
      <c r="AK92" s="183"/>
      <c r="AL92" s="183"/>
    </row>
    <row r="93" spans="2:40" x14ac:dyDescent="0.25">
      <c r="B93" s="12" t="s">
        <v>21</v>
      </c>
      <c r="C93" s="12" t="s">
        <v>22</v>
      </c>
      <c r="D93" s="3" t="s">
        <v>10</v>
      </c>
      <c r="E93" s="32">
        <v>0</v>
      </c>
      <c r="F93" s="589">
        <f>IF(YEAR(Postup!$H$25)&gt;$D$74,Provozování!O28,IF(AND(DAY(Postup!$H$25)=31,MONTH(Postup!$H$25)=12,YEAR(Postup!$H$25)=$D$74),Provozování!O28,IF(YEAR(Postup!$H$25)=$D$74,Provozování!$BL28,0)))</f>
        <v>0</v>
      </c>
      <c r="G93" s="32">
        <v>0</v>
      </c>
      <c r="H93" s="590">
        <f>IF(YEAR(Postup!$H$25)&gt;$D$74,Provozování!P28,IF(AND(DAY(Postup!$H$25)=31,MONTH(Postup!$H$25)=12,YEAR(Postup!$H$25)=$D$74),Provozování!P28,IF(YEAR(Postup!$H$25)=$D$74,Provozování!$BM28,0)))</f>
        <v>0</v>
      </c>
      <c r="K93" s="12" t="s">
        <v>21</v>
      </c>
      <c r="L93" s="12" t="s">
        <v>22</v>
      </c>
      <c r="M93" s="3" t="s">
        <v>10</v>
      </c>
      <c r="N93" s="32">
        <v>0</v>
      </c>
      <c r="O93" s="444">
        <f>IF(Provozování!$Q$16="Neaktivní",0,Provozování!Q28)</f>
        <v>0</v>
      </c>
      <c r="P93" s="32">
        <v>0</v>
      </c>
      <c r="Q93" s="443">
        <f>IF(Provozování!$Q$16="Neaktivní",0,Provozování!R28)</f>
        <v>0</v>
      </c>
      <c r="T93" s="12" t="s">
        <v>21</v>
      </c>
      <c r="U93" s="12" t="s">
        <v>22</v>
      </c>
      <c r="V93" s="3" t="s">
        <v>10</v>
      </c>
      <c r="W93" s="595">
        <v>0</v>
      </c>
      <c r="X93" s="49">
        <f>IF(Provozování!$Q$16="Neaktivní",F93,F93*Výpočty!$I$58+O93)</f>
        <v>0</v>
      </c>
      <c r="Y93" s="49">
        <f t="shared" ref="Y93:Y94" si="35">W93-X93</f>
        <v>0</v>
      </c>
      <c r="Z93" s="597">
        <v>0</v>
      </c>
      <c r="AA93" s="49">
        <f>IF(Provozování!$Q$16="Neaktivní",H93,H93*Výpočty!$I$58+Q93)</f>
        <v>0</v>
      </c>
      <c r="AB93" s="32">
        <f t="shared" ref="AB93:AB94" si="36">Z93-AA93</f>
        <v>0</v>
      </c>
      <c r="AC93" s="183"/>
      <c r="AK93" s="183"/>
      <c r="AL93" s="183"/>
    </row>
    <row r="94" spans="2:40" x14ac:dyDescent="0.25">
      <c r="B94" s="12" t="s">
        <v>23</v>
      </c>
      <c r="C94" s="12" t="s">
        <v>24</v>
      </c>
      <c r="D94" s="3" t="s">
        <v>10</v>
      </c>
      <c r="E94" s="99">
        <v>0</v>
      </c>
      <c r="F94" s="589">
        <f>IF(YEAR(Postup!$H$25)&gt;$D$74,Provozování!O29,IF(AND(DAY(Postup!$H$25)=31,MONTH(Postup!$H$25)=12,YEAR(Postup!$H$25)=$D$74),Provozování!O29,IF(YEAR(Postup!$H$25)=$D$74,Provozování!$BL29,0)))</f>
        <v>0</v>
      </c>
      <c r="G94" s="99">
        <v>0</v>
      </c>
      <c r="H94" s="590">
        <f>IF(YEAR(Postup!$H$25)&gt;$D$74,Provozování!P29,IF(AND(DAY(Postup!$H$25)=31,MONTH(Postup!$H$25)=12,YEAR(Postup!$H$25)=$D$74),Provozování!P29,IF(YEAR(Postup!$H$25)=$D$74,Provozování!$BM29,0)))</f>
        <v>0</v>
      </c>
      <c r="K94" s="12" t="s">
        <v>23</v>
      </c>
      <c r="L94" s="12" t="s">
        <v>24</v>
      </c>
      <c r="M94" s="3" t="s">
        <v>10</v>
      </c>
      <c r="N94" s="99">
        <v>0</v>
      </c>
      <c r="O94" s="444">
        <f>IF(Provozování!$Q$16="Neaktivní",0,Provozování!Q29)</f>
        <v>0</v>
      </c>
      <c r="P94" s="99">
        <v>0</v>
      </c>
      <c r="Q94" s="443">
        <f>IF(Provozování!$Q$16="Neaktivní",0,Provozování!R29)</f>
        <v>0</v>
      </c>
      <c r="T94" s="12" t="s">
        <v>23</v>
      </c>
      <c r="U94" s="12" t="s">
        <v>24</v>
      </c>
      <c r="V94" s="3" t="s">
        <v>10</v>
      </c>
      <c r="W94" s="596">
        <v>0</v>
      </c>
      <c r="X94" s="49">
        <f>IF(Provozování!$Q$16="Neaktivní",F94,F94*Výpočty!$I$58+O94)</f>
        <v>0</v>
      </c>
      <c r="Y94" s="49">
        <f t="shared" si="35"/>
        <v>0</v>
      </c>
      <c r="Z94" s="598">
        <v>0</v>
      </c>
      <c r="AA94" s="49">
        <f>IF(Provozování!$Q$16="Neaktivní",H94,H94*Výpočty!$I$58+Q94)</f>
        <v>0</v>
      </c>
      <c r="AB94" s="32">
        <f t="shared" si="36"/>
        <v>0</v>
      </c>
      <c r="AC94" s="183"/>
      <c r="AK94" s="183"/>
      <c r="AL94" s="183"/>
      <c r="AM94" s="183"/>
      <c r="AN94" s="183"/>
    </row>
    <row r="95" spans="2:40" x14ac:dyDescent="0.25">
      <c r="B95" s="9" t="s">
        <v>25</v>
      </c>
      <c r="C95" s="10" t="s">
        <v>26</v>
      </c>
      <c r="D95" s="11" t="s">
        <v>10</v>
      </c>
      <c r="E95" s="46">
        <f>SUM(E96:E97)</f>
        <v>0</v>
      </c>
      <c r="F95" s="46">
        <f>SUM(F96:F97)</f>
        <v>0</v>
      </c>
      <c r="G95" s="46">
        <f>SUM(G96:G97)</f>
        <v>0</v>
      </c>
      <c r="H95" s="98">
        <f>SUM(H96:H97)</f>
        <v>0</v>
      </c>
      <c r="K95" s="9" t="s">
        <v>25</v>
      </c>
      <c r="L95" s="10" t="s">
        <v>26</v>
      </c>
      <c r="M95" s="11" t="s">
        <v>10</v>
      </c>
      <c r="N95" s="46">
        <f>SUM(N96:N97)</f>
        <v>0</v>
      </c>
      <c r="O95" s="46">
        <f>SUM(O96:O97)</f>
        <v>0</v>
      </c>
      <c r="P95" s="46">
        <f>SUM(P96:P97)</f>
        <v>0</v>
      </c>
      <c r="Q95" s="98">
        <f>SUM(Q96:Q97)</f>
        <v>0</v>
      </c>
      <c r="T95" s="9" t="s">
        <v>25</v>
      </c>
      <c r="U95" s="10" t="s">
        <v>26</v>
      </c>
      <c r="V95" s="11" t="s">
        <v>10</v>
      </c>
      <c r="W95" s="98">
        <f t="shared" ref="W95:AB95" si="37">SUM(W96:W97)</f>
        <v>0</v>
      </c>
      <c r="X95" s="98">
        <f t="shared" si="37"/>
        <v>0</v>
      </c>
      <c r="Y95" s="98">
        <f t="shared" si="37"/>
        <v>0</v>
      </c>
      <c r="Z95" s="98">
        <f t="shared" si="37"/>
        <v>0</v>
      </c>
      <c r="AA95" s="98">
        <f t="shared" si="37"/>
        <v>0</v>
      </c>
      <c r="AB95" s="98">
        <f t="shared" si="37"/>
        <v>0</v>
      </c>
      <c r="AC95" s="183"/>
      <c r="AD95" s="183"/>
      <c r="AK95" s="183"/>
      <c r="AL95" s="183"/>
      <c r="AM95" s="183"/>
      <c r="AN95" s="183"/>
    </row>
    <row r="96" spans="2:40" x14ac:dyDescent="0.25">
      <c r="B96" s="12" t="s">
        <v>27</v>
      </c>
      <c r="C96" s="13" t="s">
        <v>28</v>
      </c>
      <c r="D96" s="3" t="s">
        <v>10</v>
      </c>
      <c r="E96" s="49">
        <v>0</v>
      </c>
      <c r="F96" s="589">
        <f>IF(YEAR(Postup!$H$25)&gt;$D$74,Provozování!O31,IF(AND(DAY(Postup!$H$25)=31,MONTH(Postup!$H$25)=12,YEAR(Postup!$H$25)=$D$74),Provozování!O31,IF(YEAR(Postup!$H$25)=$D$74,Provozování!$BL31,0)))</f>
        <v>0</v>
      </c>
      <c r="G96" s="49">
        <v>0</v>
      </c>
      <c r="H96" s="590">
        <f>IF(YEAR(Postup!$H$25)&gt;$D$74,Provozování!P31,IF(AND(DAY(Postup!$H$25)=31,MONTH(Postup!$H$25)=12,YEAR(Postup!$H$25)=$D$74),Provozování!P31,IF(YEAR(Postup!$H$25)=$D$74,Provozování!$BM31,0)))</f>
        <v>0</v>
      </c>
      <c r="K96" s="12" t="s">
        <v>27</v>
      </c>
      <c r="L96" s="13" t="s">
        <v>28</v>
      </c>
      <c r="M96" s="3" t="s">
        <v>10</v>
      </c>
      <c r="N96" s="49">
        <v>0</v>
      </c>
      <c r="O96" s="444">
        <f>IF(Provozování!$Q$16="Neaktivní",0,Provozování!Q31)</f>
        <v>0</v>
      </c>
      <c r="P96" s="49">
        <v>0</v>
      </c>
      <c r="Q96" s="443">
        <f>IF(Provozování!$Q$16="Neaktivní",0,Provozování!R31)</f>
        <v>0</v>
      </c>
      <c r="T96" s="12" t="s">
        <v>27</v>
      </c>
      <c r="U96" s="13" t="s">
        <v>28</v>
      </c>
      <c r="V96" s="3" t="s">
        <v>10</v>
      </c>
      <c r="W96" s="595">
        <v>0</v>
      </c>
      <c r="X96" s="49">
        <f>IF(Provozování!$Q$16="Neaktivní",F96,F96*Výpočty!$I$58+O96)</f>
        <v>0</v>
      </c>
      <c r="Y96" s="49">
        <f t="shared" ref="Y96:Y97" si="38">W96-X96</f>
        <v>0</v>
      </c>
      <c r="Z96" s="595">
        <v>0</v>
      </c>
      <c r="AA96" s="49">
        <f>IF(Provozování!$Q$16="Neaktivní",H96,H96*Výpočty!$I$58+Q96)</f>
        <v>0</v>
      </c>
      <c r="AB96" s="32">
        <f t="shared" ref="AB96:AB97" si="39">Z96-AA96</f>
        <v>0</v>
      </c>
      <c r="AC96" s="183"/>
      <c r="AD96" s="183"/>
      <c r="AK96" s="183"/>
      <c r="AL96" s="183"/>
      <c r="AM96" s="183"/>
      <c r="AN96" s="183"/>
    </row>
    <row r="97" spans="2:40" x14ac:dyDescent="0.25">
      <c r="B97" s="12" t="s">
        <v>29</v>
      </c>
      <c r="C97" s="13" t="s">
        <v>30</v>
      </c>
      <c r="D97" s="3" t="s">
        <v>10</v>
      </c>
      <c r="E97" s="49">
        <v>0</v>
      </c>
      <c r="F97" s="589">
        <f>IF(YEAR(Postup!$H$25)&gt;$D$74,Provozování!O32,IF(AND(DAY(Postup!$H$25)=31,MONTH(Postup!$H$25)=12,YEAR(Postup!$H$25)=$D$74),Provozování!O32,IF(YEAR(Postup!$H$25)=$D$74,Provozování!$BL32,0)))</f>
        <v>0</v>
      </c>
      <c r="G97" s="49">
        <v>0</v>
      </c>
      <c r="H97" s="590">
        <f>IF(YEAR(Postup!$H$25)&gt;$D$74,Provozování!P32,IF(AND(DAY(Postup!$H$25)=31,MONTH(Postup!$H$25)=12,YEAR(Postup!$H$25)=$D$74),Provozování!P32,IF(YEAR(Postup!$H$25)=$D$74,Provozování!$BM32,0)))</f>
        <v>0</v>
      </c>
      <c r="K97" s="12" t="s">
        <v>29</v>
      </c>
      <c r="L97" s="13" t="s">
        <v>30</v>
      </c>
      <c r="M97" s="3" t="s">
        <v>10</v>
      </c>
      <c r="N97" s="49">
        <v>0</v>
      </c>
      <c r="O97" s="444">
        <f>IF(Provozování!$Q$16="Neaktivní",0,Provozování!Q32)</f>
        <v>0</v>
      </c>
      <c r="P97" s="49">
        <v>0</v>
      </c>
      <c r="Q97" s="443">
        <f>IF(Provozování!$Q$16="Neaktivní",0,Provozování!R32)</f>
        <v>0</v>
      </c>
      <c r="T97" s="12" t="s">
        <v>29</v>
      </c>
      <c r="U97" s="13" t="s">
        <v>30</v>
      </c>
      <c r="V97" s="3" t="s">
        <v>10</v>
      </c>
      <c r="W97" s="595">
        <v>0</v>
      </c>
      <c r="X97" s="49">
        <f>IF(Provozování!$Q$16="Neaktivní",F97,F97*Výpočty!$I$58+O97)</f>
        <v>0</v>
      </c>
      <c r="Y97" s="49">
        <f t="shared" si="38"/>
        <v>0</v>
      </c>
      <c r="Z97" s="595">
        <v>0</v>
      </c>
      <c r="AA97" s="49">
        <f>IF(Provozování!$Q$16="Neaktivní",H97,H97*Výpočty!$I$58+Q97)</f>
        <v>0</v>
      </c>
      <c r="AB97" s="32">
        <f t="shared" si="39"/>
        <v>0</v>
      </c>
      <c r="AC97" s="183"/>
      <c r="AD97" s="183"/>
      <c r="AK97" s="183"/>
      <c r="AL97" s="183"/>
      <c r="AM97" s="183"/>
      <c r="AN97" s="183"/>
    </row>
    <row r="98" spans="2:40" x14ac:dyDescent="0.25">
      <c r="B98" s="9" t="s">
        <v>31</v>
      </c>
      <c r="C98" s="10" t="s">
        <v>32</v>
      </c>
      <c r="D98" s="11" t="s">
        <v>10</v>
      </c>
      <c r="E98" s="46">
        <f>SUM(E99:E102)</f>
        <v>0</v>
      </c>
      <c r="F98" s="46">
        <f>SUM(F99:F102)</f>
        <v>0</v>
      </c>
      <c r="G98" s="46">
        <f>SUM(G99:G102)</f>
        <v>0</v>
      </c>
      <c r="H98" s="98">
        <f>SUM(H99:H102)</f>
        <v>0.14000000000000001</v>
      </c>
      <c r="K98" s="9" t="s">
        <v>31</v>
      </c>
      <c r="L98" s="10" t="s">
        <v>32</v>
      </c>
      <c r="M98" s="11" t="s">
        <v>10</v>
      </c>
      <c r="N98" s="46">
        <f>SUM(N99:N102)</f>
        <v>0</v>
      </c>
      <c r="O98" s="46">
        <f>SUM(O99:O102)</f>
        <v>0</v>
      </c>
      <c r="P98" s="46">
        <f>SUM(P99:P102)</f>
        <v>0</v>
      </c>
      <c r="Q98" s="98">
        <f>SUM(Q99:Q102)</f>
        <v>0</v>
      </c>
      <c r="T98" s="9" t="s">
        <v>31</v>
      </c>
      <c r="U98" s="10" t="s">
        <v>32</v>
      </c>
      <c r="V98" s="11" t="s">
        <v>10</v>
      </c>
      <c r="W98" s="98">
        <f t="shared" ref="W98:AB98" si="40">SUM(W99:W102)</f>
        <v>0</v>
      </c>
      <c r="X98" s="98">
        <f t="shared" si="40"/>
        <v>0</v>
      </c>
      <c r="Y98" s="98">
        <f t="shared" si="40"/>
        <v>0</v>
      </c>
      <c r="Z98" s="98">
        <f t="shared" si="40"/>
        <v>0</v>
      </c>
      <c r="AA98" s="98">
        <f t="shared" si="40"/>
        <v>0.14000000000000001</v>
      </c>
      <c r="AB98" s="98">
        <f t="shared" si="40"/>
        <v>-0.14000000000000001</v>
      </c>
      <c r="AC98" s="183"/>
      <c r="AD98" s="183"/>
      <c r="AK98" s="183"/>
      <c r="AL98" s="183"/>
      <c r="AM98" s="183"/>
      <c r="AN98" s="183"/>
    </row>
    <row r="99" spans="2:40" x14ac:dyDescent="0.25">
      <c r="B99" s="12" t="s">
        <v>33</v>
      </c>
      <c r="C99" s="21" t="s">
        <v>34</v>
      </c>
      <c r="D99" s="3" t="s">
        <v>10</v>
      </c>
      <c r="E99" s="49">
        <v>0</v>
      </c>
      <c r="F99" s="49">
        <f>IF(YEAR(Postup!$H$25)&gt;$D$74,Provozování!O34,IF(AND(DAY(Postup!$H$25)=31,MONTH(Postup!$H$25)=12,YEAR(Postup!$H$25)=$D$74),Provozování!O34,IF(YEAR(Postup!$H$25)=$D$74,Provozování!$BL34,0)))</f>
        <v>0</v>
      </c>
      <c r="G99" s="49">
        <v>0</v>
      </c>
      <c r="H99" s="32">
        <f>IF(YEAR(Postup!$H$25)&gt;$D$74,Provozování!P34,IF(AND(DAY(Postup!$H$25)=31,MONTH(Postup!$H$25)=12,YEAR(Postup!$H$25)=$D$74),Provozování!P34,IF(YEAR(Postup!$H$25)=$D$74,Provozování!$BM34,0)))</f>
        <v>0</v>
      </c>
      <c r="K99" s="12" t="s">
        <v>33</v>
      </c>
      <c r="L99" s="21" t="s">
        <v>34</v>
      </c>
      <c r="M99" s="3" t="s">
        <v>10</v>
      </c>
      <c r="N99" s="49">
        <v>0</v>
      </c>
      <c r="O99" s="49">
        <f>IF(Provozování!$Q$16="Neaktivní",0,Provozování!Q34)</f>
        <v>0</v>
      </c>
      <c r="P99" s="49">
        <v>0</v>
      </c>
      <c r="Q99" s="59">
        <f>IF(Provozování!$Q$16="Neaktivní",0,Provozování!R34)</f>
        <v>0</v>
      </c>
      <c r="T99" s="12" t="s">
        <v>33</v>
      </c>
      <c r="U99" s="21" t="s">
        <v>34</v>
      </c>
      <c r="V99" s="3" t="s">
        <v>10</v>
      </c>
      <c r="W99" s="595">
        <v>0</v>
      </c>
      <c r="X99" s="49">
        <f>IF(Provozování!$Q$16="Neaktivní",F99,F99*Výpočty!$I$58+O99)</f>
        <v>0</v>
      </c>
      <c r="Y99" s="49">
        <f t="shared" ref="Y99:Y101" si="41">W99-X99</f>
        <v>0</v>
      </c>
      <c r="Z99" s="595">
        <v>0</v>
      </c>
      <c r="AA99" s="49">
        <f>IF(Provozování!$Q$16="Neaktivní",H99,H99*Výpočty!$I$58+Q99)</f>
        <v>0</v>
      </c>
      <c r="AB99" s="32">
        <f t="shared" ref="AB99:AB101" si="42">Z99-AA99</f>
        <v>0</v>
      </c>
      <c r="AC99" s="183"/>
      <c r="AD99" s="183"/>
      <c r="AK99" s="183"/>
      <c r="AL99" s="183"/>
      <c r="AM99" s="183"/>
      <c r="AN99" s="183"/>
    </row>
    <row r="100" spans="2:40" x14ac:dyDescent="0.25">
      <c r="B100" s="12" t="s">
        <v>35</v>
      </c>
      <c r="C100" s="13" t="s">
        <v>36</v>
      </c>
      <c r="D100" s="3" t="s">
        <v>10</v>
      </c>
      <c r="E100" s="49">
        <v>0</v>
      </c>
      <c r="F100" s="589">
        <f>IF(YEAR(Postup!$H$25)&gt;$D$74,Provozování!O35,IF(AND(DAY(Postup!$H$25)=31,MONTH(Postup!$H$25)=12,YEAR(Postup!$H$25)=$D$74),Provozování!O35,IF(YEAR(Postup!$H$25)=$D$74,Provozování!$BL35,0)))</f>
        <v>0</v>
      </c>
      <c r="G100" s="49">
        <v>0</v>
      </c>
      <c r="H100" s="590">
        <f>IF(YEAR(Postup!$H$25)&gt;$D$74,Provozování!P35,IF(AND(DAY(Postup!$H$25)=31,MONTH(Postup!$H$25)=12,YEAR(Postup!$H$25)=$D$74),Provozování!P35,IF(YEAR(Postup!$H$25)=$D$74,Provozování!$BM35,0)))</f>
        <v>0</v>
      </c>
      <c r="K100" s="12" t="s">
        <v>35</v>
      </c>
      <c r="L100" s="13" t="s">
        <v>36</v>
      </c>
      <c r="M100" s="3" t="s">
        <v>10</v>
      </c>
      <c r="N100" s="49">
        <v>0</v>
      </c>
      <c r="O100" s="444">
        <f>IF(Provozování!$Q$16="Neaktivní",0,Provozování!Q35)</f>
        <v>0</v>
      </c>
      <c r="P100" s="49">
        <v>0</v>
      </c>
      <c r="Q100" s="450">
        <f>IF(Provozování!$Q$16="Neaktivní",0,Provozování!R35)</f>
        <v>0</v>
      </c>
      <c r="T100" s="12" t="s">
        <v>35</v>
      </c>
      <c r="U100" s="13" t="s">
        <v>36</v>
      </c>
      <c r="V100" s="3" t="s">
        <v>10</v>
      </c>
      <c r="W100" s="595">
        <v>0</v>
      </c>
      <c r="X100" s="49">
        <f>IF(Provozování!$Q$16="Neaktivní",F100,F100*Výpočty!$I$58+O100)</f>
        <v>0</v>
      </c>
      <c r="Y100" s="49">
        <f t="shared" si="41"/>
        <v>0</v>
      </c>
      <c r="Z100" s="595">
        <v>0</v>
      </c>
      <c r="AA100" s="49">
        <f>IF(Provozování!$Q$16="Neaktivní",H100,H100*Výpočty!$I$58+Q100)</f>
        <v>0</v>
      </c>
      <c r="AB100" s="32">
        <f t="shared" si="42"/>
        <v>0</v>
      </c>
      <c r="AC100" s="183"/>
      <c r="AD100" s="183"/>
      <c r="AK100" s="183"/>
      <c r="AL100" s="183"/>
      <c r="AM100" s="183"/>
      <c r="AN100" s="183"/>
    </row>
    <row r="101" spans="2:40" x14ac:dyDescent="0.25">
      <c r="B101" s="12" t="s">
        <v>37</v>
      </c>
      <c r="C101" s="13" t="s">
        <v>38</v>
      </c>
      <c r="D101" s="3" t="s">
        <v>10</v>
      </c>
      <c r="E101" s="49">
        <v>0</v>
      </c>
      <c r="F101" s="49">
        <f>IF(YEAR(Postup!$H$25)&gt;$D$74,Provozování!O36,IF(AND(DAY(Postup!$H$25)=31,MONTH(Postup!$H$25)=12,YEAR(Postup!$H$25)=$D$74),Provozování!O36,IF(YEAR(Postup!$H$25)=$D$74,Provozování!$BL36,0)))</f>
        <v>0</v>
      </c>
      <c r="G101" s="49">
        <v>0</v>
      </c>
      <c r="H101" s="32">
        <f>IF(YEAR(Postup!$H$25)&gt;$D$74,Provozování!P36,IF(AND(DAY(Postup!$H$25)=31,MONTH(Postup!$H$25)=12,YEAR(Postup!$H$25)=$D$74),Provozování!P36,IF(YEAR(Postup!$H$25)=$D$74,Provozování!$BM36,0)))</f>
        <v>0.14000000000000001</v>
      </c>
      <c r="K101" s="12" t="s">
        <v>37</v>
      </c>
      <c r="L101" s="13" t="s">
        <v>38</v>
      </c>
      <c r="M101" s="3" t="s">
        <v>10</v>
      </c>
      <c r="N101" s="49">
        <v>0</v>
      </c>
      <c r="O101" s="49">
        <f>IF(Provozování!$Q$16="Neaktivní",0,Provozování!Q36)</f>
        <v>0</v>
      </c>
      <c r="P101" s="49">
        <v>0</v>
      </c>
      <c r="Q101" s="59">
        <f>IF(Provozování!$Q$16="Neaktivní",0,Provozování!R36)</f>
        <v>0</v>
      </c>
      <c r="T101" s="12" t="s">
        <v>37</v>
      </c>
      <c r="U101" s="13" t="s">
        <v>38</v>
      </c>
      <c r="V101" s="3" t="s">
        <v>10</v>
      </c>
      <c r="W101" s="595">
        <v>0</v>
      </c>
      <c r="X101" s="49">
        <f>IF(Provozování!$Q$16="Neaktivní",F101,F101*Výpočty!$I$58+O101)</f>
        <v>0</v>
      </c>
      <c r="Y101" s="49">
        <f t="shared" si="41"/>
        <v>0</v>
      </c>
      <c r="Z101" s="595">
        <v>0</v>
      </c>
      <c r="AA101" s="49">
        <f>IF(Provozování!$Q$16="Neaktivní",H101,H101*Výpočty!$I$58+Q101)</f>
        <v>0.14000000000000001</v>
      </c>
      <c r="AB101" s="32">
        <f t="shared" si="42"/>
        <v>-0.14000000000000001</v>
      </c>
      <c r="AC101" s="183"/>
      <c r="AD101" s="183"/>
      <c r="AK101" s="183"/>
      <c r="AL101" s="183"/>
      <c r="AM101" s="183"/>
      <c r="AN101" s="183"/>
    </row>
    <row r="102" spans="2:40" x14ac:dyDescent="0.25">
      <c r="B102" s="12" t="s">
        <v>39</v>
      </c>
      <c r="C102" s="21" t="s">
        <v>40</v>
      </c>
      <c r="D102" s="3" t="s">
        <v>10</v>
      </c>
      <c r="E102" s="49">
        <v>0</v>
      </c>
      <c r="F102" s="445">
        <v>0</v>
      </c>
      <c r="G102" s="49">
        <v>0</v>
      </c>
      <c r="H102" s="442">
        <v>0</v>
      </c>
      <c r="K102" s="12" t="s">
        <v>39</v>
      </c>
      <c r="L102" s="21" t="s">
        <v>40</v>
      </c>
      <c r="M102" s="3" t="s">
        <v>10</v>
      </c>
      <c r="N102" s="49">
        <v>0</v>
      </c>
      <c r="O102" s="445">
        <v>0</v>
      </c>
      <c r="P102" s="49">
        <v>0</v>
      </c>
      <c r="Q102" s="442">
        <v>0</v>
      </c>
      <c r="T102" s="12" t="s">
        <v>39</v>
      </c>
      <c r="U102" s="21" t="s">
        <v>40</v>
      </c>
      <c r="V102" s="3" t="s">
        <v>10</v>
      </c>
      <c r="W102" s="445">
        <v>0</v>
      </c>
      <c r="X102" s="445">
        <v>0</v>
      </c>
      <c r="Y102" s="445">
        <v>0</v>
      </c>
      <c r="Z102" s="445">
        <v>0</v>
      </c>
      <c r="AA102" s="445">
        <v>0</v>
      </c>
      <c r="AB102" s="442">
        <v>0</v>
      </c>
      <c r="AC102" s="183"/>
      <c r="AD102" s="183"/>
      <c r="AK102" s="183"/>
      <c r="AL102" s="183"/>
      <c r="AM102" s="183"/>
      <c r="AN102" s="183"/>
    </row>
    <row r="103" spans="2:40" x14ac:dyDescent="0.25">
      <c r="B103" s="9" t="s">
        <v>41</v>
      </c>
      <c r="C103" s="10" t="s">
        <v>42</v>
      </c>
      <c r="D103" s="11" t="s">
        <v>10</v>
      </c>
      <c r="E103" s="46">
        <f>SUM(E104:E106)</f>
        <v>0</v>
      </c>
      <c r="F103" s="46">
        <f>SUM(F104:F106)</f>
        <v>0</v>
      </c>
      <c r="G103" s="46">
        <f>SUM(G104:G106)</f>
        <v>0</v>
      </c>
      <c r="H103" s="98">
        <f>SUM(H104:H106)</f>
        <v>0</v>
      </c>
      <c r="K103" s="9" t="s">
        <v>41</v>
      </c>
      <c r="L103" s="10" t="s">
        <v>42</v>
      </c>
      <c r="M103" s="11" t="s">
        <v>10</v>
      </c>
      <c r="N103" s="46">
        <f>SUM(N104:N106)</f>
        <v>0</v>
      </c>
      <c r="O103" s="46">
        <f>SUM(O104:O106)</f>
        <v>0</v>
      </c>
      <c r="P103" s="46">
        <f>SUM(P104:P106)</f>
        <v>0</v>
      </c>
      <c r="Q103" s="98">
        <f>SUM(Q104:Q106)</f>
        <v>0</v>
      </c>
      <c r="T103" s="9" t="s">
        <v>41</v>
      </c>
      <c r="U103" s="10" t="s">
        <v>42</v>
      </c>
      <c r="V103" s="11" t="s">
        <v>10</v>
      </c>
      <c r="W103" s="98">
        <f t="shared" ref="W103:AB103" si="43">SUM(W104:W106)</f>
        <v>0</v>
      </c>
      <c r="X103" s="98">
        <f t="shared" si="43"/>
        <v>0</v>
      </c>
      <c r="Y103" s="98">
        <f t="shared" si="43"/>
        <v>0</v>
      </c>
      <c r="Z103" s="98">
        <f t="shared" si="43"/>
        <v>0</v>
      </c>
      <c r="AA103" s="98">
        <f t="shared" si="43"/>
        <v>0</v>
      </c>
      <c r="AB103" s="98">
        <f t="shared" si="43"/>
        <v>0</v>
      </c>
      <c r="AC103" s="183"/>
      <c r="AD103" s="183"/>
      <c r="AK103" s="183"/>
      <c r="AL103" s="183"/>
      <c r="AM103" s="183"/>
      <c r="AN103" s="183"/>
    </row>
    <row r="104" spans="2:40" x14ac:dyDescent="0.25">
      <c r="B104" s="12" t="s">
        <v>43</v>
      </c>
      <c r="C104" s="13" t="s">
        <v>44</v>
      </c>
      <c r="D104" s="3" t="s">
        <v>10</v>
      </c>
      <c r="E104" s="49">
        <v>0</v>
      </c>
      <c r="F104" s="445">
        <v>0</v>
      </c>
      <c r="G104" s="49">
        <v>0</v>
      </c>
      <c r="H104" s="32">
        <f>IF(YEAR(Postup!$H$25)&gt;$D$74,Provozování!P39,IF(AND(DAY(Postup!$H$25)=31,MONTH(Postup!$H$25)=12,YEAR(Postup!$H$25)=$D$74),Provozování!P39,IF(YEAR(Postup!$H$25)=$D$74,Provozování!$BM39,0)))</f>
        <v>0</v>
      </c>
      <c r="K104" s="12" t="s">
        <v>43</v>
      </c>
      <c r="L104" s="13" t="s">
        <v>44</v>
      </c>
      <c r="M104" s="3" t="s">
        <v>10</v>
      </c>
      <c r="N104" s="49">
        <v>0</v>
      </c>
      <c r="O104" s="445">
        <v>0</v>
      </c>
      <c r="P104" s="49">
        <v>0</v>
      </c>
      <c r="Q104" s="59">
        <f>IF(Provozování!$Q$16="Neaktivní",0,Provozování!R39)</f>
        <v>0</v>
      </c>
      <c r="T104" s="12" t="s">
        <v>43</v>
      </c>
      <c r="U104" s="13" t="s">
        <v>44</v>
      </c>
      <c r="V104" s="3" t="s">
        <v>10</v>
      </c>
      <c r="W104" s="445">
        <v>0</v>
      </c>
      <c r="X104" s="445">
        <v>0</v>
      </c>
      <c r="Y104" s="445">
        <v>0</v>
      </c>
      <c r="Z104" s="595">
        <v>0</v>
      </c>
      <c r="AA104" s="49">
        <f>IF(Provozování!$Q$16="Neaktivní",H104,H104*Výpočty!$I$58+Q104)</f>
        <v>0</v>
      </c>
      <c r="AB104" s="32">
        <f t="shared" ref="AB104:AB107" si="44">Z104-AA104</f>
        <v>0</v>
      </c>
      <c r="AC104" s="183"/>
      <c r="AD104" s="183"/>
      <c r="AE104" s="951" t="s">
        <v>362</v>
      </c>
      <c r="AF104" s="952"/>
      <c r="AG104" s="447">
        <f>Y84</f>
        <v>2021</v>
      </c>
      <c r="AH104" s="447">
        <f>AG104</f>
        <v>2021</v>
      </c>
      <c r="AK104" s="183"/>
      <c r="AL104" s="183"/>
      <c r="AM104" s="183"/>
      <c r="AN104" s="183"/>
    </row>
    <row r="105" spans="2:40" x14ac:dyDescent="0.25">
      <c r="B105" s="12" t="s">
        <v>45</v>
      </c>
      <c r="C105" s="12" t="s">
        <v>46</v>
      </c>
      <c r="D105" s="3" t="s">
        <v>10</v>
      </c>
      <c r="E105" s="49">
        <v>0</v>
      </c>
      <c r="F105" s="589">
        <f>IF(YEAR(Postup!$H$25)&gt;$D$74,Provozování!O40,IF(AND(DAY(Postup!$H$25)=31,MONTH(Postup!$H$25)=12,YEAR(Postup!$H$25)=$D$74),Provozování!O40,IF(YEAR(Postup!$H$25)=$D$74,Provozování!$BL40,0)))</f>
        <v>0</v>
      </c>
      <c r="G105" s="49">
        <v>0</v>
      </c>
      <c r="H105" s="590">
        <f>IF(YEAR(Postup!$H$25)&gt;$D$74,Provozování!P40,IF(AND(DAY(Postup!$H$25)=31,MONTH(Postup!$H$25)=12,YEAR(Postup!$H$25)=$D$74),Provozování!P40,IF(YEAR(Postup!$H$25)=$D$74,Provozování!$BM40,0)))</f>
        <v>0</v>
      </c>
      <c r="K105" s="12" t="s">
        <v>45</v>
      </c>
      <c r="L105" s="12" t="s">
        <v>46</v>
      </c>
      <c r="M105" s="3" t="s">
        <v>10</v>
      </c>
      <c r="N105" s="49">
        <v>0</v>
      </c>
      <c r="O105" s="444">
        <f>IF(Provozování!$Q$16="Neaktivní",0,Provozování!Q40)</f>
        <v>0</v>
      </c>
      <c r="P105" s="49">
        <v>0</v>
      </c>
      <c r="Q105" s="443">
        <f>IF(Provozování!$Q$16="Neaktivní",0,Provozování!R40)</f>
        <v>0</v>
      </c>
      <c r="T105" s="12" t="s">
        <v>45</v>
      </c>
      <c r="U105" s="12" t="s">
        <v>46</v>
      </c>
      <c r="V105" s="3" t="s">
        <v>10</v>
      </c>
      <c r="W105" s="595">
        <v>0</v>
      </c>
      <c r="X105" s="49">
        <f>IF(Provozování!$Q$16="Neaktivní",F105,F105*Výpočty!$I$58+O105)</f>
        <v>0</v>
      </c>
      <c r="Y105" s="49">
        <f t="shared" ref="Y105:Y107" si="45">W105-X105</f>
        <v>0</v>
      </c>
      <c r="Z105" s="595">
        <v>0</v>
      </c>
      <c r="AA105" s="49">
        <f>IF(Provozování!$Q$16="Neaktivní",H105,H105*Výpočty!$I$58+Q105)</f>
        <v>0</v>
      </c>
      <c r="AB105" s="32">
        <f t="shared" si="44"/>
        <v>0</v>
      </c>
      <c r="AC105" s="183"/>
      <c r="AD105" s="183"/>
      <c r="AE105" s="953"/>
      <c r="AF105" s="954"/>
      <c r="AG105" s="957" t="s">
        <v>299</v>
      </c>
      <c r="AH105" s="957" t="s">
        <v>300</v>
      </c>
      <c r="AK105" s="183"/>
      <c r="AL105" s="183"/>
      <c r="AM105" s="183"/>
      <c r="AN105" s="183"/>
    </row>
    <row r="106" spans="2:40" x14ac:dyDescent="0.25">
      <c r="B106" s="12" t="s">
        <v>47</v>
      </c>
      <c r="C106" s="13" t="s">
        <v>48</v>
      </c>
      <c r="D106" s="3" t="s">
        <v>10</v>
      </c>
      <c r="E106" s="49">
        <v>0</v>
      </c>
      <c r="F106" s="589">
        <f>IF(YEAR(Postup!$H$25)&gt;$D$74,Provozování!O41,IF(AND(DAY(Postup!$H$25)=31,MONTH(Postup!$H$25)=12,YEAR(Postup!$H$25)=$D$74),Provozování!O41,IF(YEAR(Postup!$H$25)=$D$74,Provozování!$BL41,0)))</f>
        <v>0</v>
      </c>
      <c r="G106" s="49">
        <v>0</v>
      </c>
      <c r="H106" s="590">
        <f>IF(YEAR(Postup!$H$25)&gt;$D$74,Provozování!P41,IF(AND(DAY(Postup!$H$25)=31,MONTH(Postup!$H$25)=12,YEAR(Postup!$H$25)=$D$74),Provozování!P41,IF(YEAR(Postup!$H$25)=$D$74,Provozování!$BM41,0)))</f>
        <v>0</v>
      </c>
      <c r="K106" s="12" t="s">
        <v>47</v>
      </c>
      <c r="L106" s="13" t="s">
        <v>48</v>
      </c>
      <c r="M106" s="3" t="s">
        <v>10</v>
      </c>
      <c r="N106" s="49">
        <v>0</v>
      </c>
      <c r="O106" s="444">
        <f>IF(Provozování!$Q$16="Neaktivní",0,Provozování!Q41)</f>
        <v>0</v>
      </c>
      <c r="P106" s="49">
        <v>0</v>
      </c>
      <c r="Q106" s="443">
        <f>IF(Provozování!$Q$16="Neaktivní",0,Provozování!R41)</f>
        <v>0</v>
      </c>
      <c r="T106" s="12" t="s">
        <v>47</v>
      </c>
      <c r="U106" s="13" t="s">
        <v>48</v>
      </c>
      <c r="V106" s="3" t="s">
        <v>10</v>
      </c>
      <c r="W106" s="595">
        <v>0</v>
      </c>
      <c r="X106" s="49">
        <f>IF(Provozování!$Q$16="Neaktivní",F106,F106*Výpočty!$I$58+O106)</f>
        <v>0</v>
      </c>
      <c r="Y106" s="49">
        <f t="shared" si="45"/>
        <v>0</v>
      </c>
      <c r="Z106" s="595">
        <v>0</v>
      </c>
      <c r="AA106" s="49">
        <f>IF(Provozování!$Q$16="Neaktivní",H106,H106*Výpočty!$I$58+Q106)</f>
        <v>0</v>
      </c>
      <c r="AB106" s="32">
        <f t="shared" si="44"/>
        <v>0</v>
      </c>
      <c r="AC106" s="183"/>
      <c r="AD106" s="183"/>
      <c r="AE106" s="955"/>
      <c r="AF106" s="956"/>
      <c r="AG106" s="958"/>
      <c r="AH106" s="958"/>
      <c r="AK106" s="183"/>
      <c r="AL106" s="183"/>
      <c r="AM106" s="183"/>
      <c r="AN106" s="183"/>
    </row>
    <row r="107" spans="2:40" x14ac:dyDescent="0.25">
      <c r="B107" s="9" t="s">
        <v>49</v>
      </c>
      <c r="C107" s="10" t="s">
        <v>50</v>
      </c>
      <c r="D107" s="11" t="s">
        <v>10</v>
      </c>
      <c r="E107" s="49">
        <v>0</v>
      </c>
      <c r="F107" s="589">
        <f>IF(YEAR(Postup!$H$25)&gt;$D$74,Provozování!O42,IF(AND(DAY(Postup!$H$25)=31,MONTH(Postup!$H$25)=12,YEAR(Postup!$H$25)=$D$74),Provozování!O42,IF(YEAR(Postup!$H$25)=$D$74,Provozování!$BL42,0)))</f>
        <v>0</v>
      </c>
      <c r="G107" s="49">
        <v>0</v>
      </c>
      <c r="H107" s="590">
        <f>IF(YEAR(Postup!$H$25)&gt;$D$74,Provozování!P42,IF(AND(DAY(Postup!$H$25)=31,MONTH(Postup!$H$25)=12,YEAR(Postup!$H$25)=$D$74),Provozování!P42,IF(YEAR(Postup!$H$25)=$D$74,Provozování!$BM42,0)))</f>
        <v>0</v>
      </c>
      <c r="K107" s="9" t="s">
        <v>49</v>
      </c>
      <c r="L107" s="10" t="s">
        <v>50</v>
      </c>
      <c r="M107" s="11" t="s">
        <v>10</v>
      </c>
      <c r="N107" s="49">
        <v>0</v>
      </c>
      <c r="O107" s="444">
        <f>IF(Provozování!$Q$16="Neaktivní",0,Provozování!Q42)</f>
        <v>0</v>
      </c>
      <c r="P107" s="49">
        <v>0</v>
      </c>
      <c r="Q107" s="450">
        <f>IF(Provozování!$Q$16="Neaktivní",0,Provozování!R42)</f>
        <v>0</v>
      </c>
      <c r="T107" s="9" t="s">
        <v>49</v>
      </c>
      <c r="U107" s="10" t="s">
        <v>50</v>
      </c>
      <c r="V107" s="11" t="s">
        <v>10</v>
      </c>
      <c r="W107" s="595">
        <v>0</v>
      </c>
      <c r="X107" s="49">
        <f>IF(Provozování!$Q$16="Neaktivní",F107,F107*Výpočty!$I$58+O107)</f>
        <v>0</v>
      </c>
      <c r="Y107" s="49">
        <f t="shared" si="45"/>
        <v>0</v>
      </c>
      <c r="Z107" s="595">
        <v>0</v>
      </c>
      <c r="AA107" s="49">
        <f>IF(Provozování!$Q$16="Neaktivní",H107,H107*Výpočty!$I$58+Q107)</f>
        <v>0</v>
      </c>
      <c r="AB107" s="32">
        <f t="shared" si="44"/>
        <v>0</v>
      </c>
      <c r="AC107" s="183"/>
      <c r="AD107" s="183"/>
      <c r="AE107" s="12" t="s">
        <v>405</v>
      </c>
      <c r="AF107" s="12" t="s">
        <v>408</v>
      </c>
      <c r="AG107" s="542">
        <f>Z135</f>
        <v>0</v>
      </c>
      <c r="AH107" s="542">
        <f ca="1">AB135</f>
        <v>31.268475300564855</v>
      </c>
      <c r="AK107" s="183"/>
      <c r="AL107" s="183"/>
      <c r="AM107" s="183"/>
      <c r="AN107" s="183"/>
    </row>
    <row r="108" spans="2:40" x14ac:dyDescent="0.25">
      <c r="B108" s="9" t="s">
        <v>51</v>
      </c>
      <c r="C108" s="10" t="s">
        <v>52</v>
      </c>
      <c r="D108" s="11" t="s">
        <v>10</v>
      </c>
      <c r="E108" s="49">
        <v>0</v>
      </c>
      <c r="F108" s="589">
        <f>IF(YEAR(Postup!$H$25)&gt;$D$74,Provozování!O43-Provozování!O97,IF(AND(DAY(Postup!$H$25)=31,MONTH(Postup!$H$25)=12,YEAR(Postup!$H$25)=$D$74),Provozování!O43-Provozování!O97,IF(YEAR(Postup!$H$25)=$D$74,Provozování!$BL43-Provozování!O97,0)))</f>
        <v>0</v>
      </c>
      <c r="G108" s="49">
        <v>0</v>
      </c>
      <c r="H108" s="590">
        <f>IF(YEAR(Postup!$H$25)&gt;$D$74,Provozování!P43-Provozování!P97,IF(AND(DAY(Postup!$H$25)=31,MONTH(Postup!$H$25)=12,YEAR(Postup!$H$25)=$D$74),Provozování!P43-Provozování!P97,IF(YEAR(Postup!$H$25)=$D$74,Provozování!$BM43-Provozování!P97,0)))</f>
        <v>0</v>
      </c>
      <c r="K108" s="9" t="s">
        <v>51</v>
      </c>
      <c r="L108" s="10" t="s">
        <v>52</v>
      </c>
      <c r="M108" s="11" t="s">
        <v>10</v>
      </c>
      <c r="N108" s="49">
        <v>0</v>
      </c>
      <c r="O108" s="444">
        <f>IF(Provozování!$Q$16="Neaktivní",0,Provozování!Q43-Provozování!O97*Výpočty!I53)</f>
        <v>0</v>
      </c>
      <c r="P108" s="49">
        <v>0</v>
      </c>
      <c r="Q108" s="450">
        <f>IF(Provozování!$Q$16="Neaktivní",0,Provozování!R43-Provozování!P97*Výpočty!I53)</f>
        <v>0</v>
      </c>
      <c r="T108" s="9" t="s">
        <v>51</v>
      </c>
      <c r="U108" s="10" t="s">
        <v>52</v>
      </c>
      <c r="V108" s="11" t="s">
        <v>10</v>
      </c>
      <c r="W108" s="595">
        <v>0</v>
      </c>
      <c r="X108" s="49">
        <f>IF(Provozování!$Q$16="Neaktivní",F108,F108*Výpočty!$I$58+O108)</f>
        <v>0</v>
      </c>
      <c r="Y108" s="49">
        <f>ABS(W108)-ABS(X108)</f>
        <v>0</v>
      </c>
      <c r="Z108" s="595">
        <v>0</v>
      </c>
      <c r="AA108" s="49">
        <f>IF(Provozování!$Q$16="Neaktivní",H108,H108*Výpočty!$I$58+Q108)</f>
        <v>0</v>
      </c>
      <c r="AB108" s="32">
        <f>ABS(Z108)-ABS(AA108)</f>
        <v>0</v>
      </c>
      <c r="AC108" s="183"/>
      <c r="AD108" s="183"/>
      <c r="AE108" s="12" t="s">
        <v>406</v>
      </c>
      <c r="AF108" s="13" t="s">
        <v>410</v>
      </c>
      <c r="AG108" s="360">
        <f>Y134</f>
        <v>0</v>
      </c>
      <c r="AH108" s="360">
        <f>AA134</f>
        <v>0</v>
      </c>
      <c r="AK108" s="183"/>
      <c r="AL108" s="183"/>
      <c r="AM108" s="183"/>
      <c r="AN108" s="183"/>
    </row>
    <row r="109" spans="2:40" x14ac:dyDescent="0.25">
      <c r="B109" s="9" t="s">
        <v>53</v>
      </c>
      <c r="C109" s="10" t="s">
        <v>54</v>
      </c>
      <c r="D109" s="11" t="s">
        <v>10</v>
      </c>
      <c r="E109" s="49">
        <v>0</v>
      </c>
      <c r="F109" s="589">
        <f>IF(YEAR(Postup!$H$25)&gt;$D$74,Provozování!O44,IF(AND(DAY(Postup!$H$25)=31,MONTH(Postup!$H$25)=12,YEAR(Postup!$H$25)=$D$74),Provozování!O44,IF(YEAR(Postup!$H$25)=$D$74,Provozování!$BL44,0)))</f>
        <v>0</v>
      </c>
      <c r="G109" s="49">
        <v>0</v>
      </c>
      <c r="H109" s="590">
        <f>IF(YEAR(Postup!$H$25)&gt;$D$74,Provozování!P44,IF(AND(DAY(Postup!$H$25)=31,MONTH(Postup!$H$25)=12,YEAR(Postup!$H$25)=$D$74),Provozování!P44,IF(YEAR(Postup!$H$25)=$D$74,Provozování!$BM44,0)))</f>
        <v>0</v>
      </c>
      <c r="K109" s="9" t="s">
        <v>53</v>
      </c>
      <c r="L109" s="10" t="s">
        <v>54</v>
      </c>
      <c r="M109" s="11" t="s">
        <v>10</v>
      </c>
      <c r="N109" s="49">
        <v>0</v>
      </c>
      <c r="O109" s="444">
        <f>IF(Provozování!$Q$16="Neaktivní",0,Provozování!Q44)</f>
        <v>0</v>
      </c>
      <c r="P109" s="49">
        <v>0</v>
      </c>
      <c r="Q109" s="443">
        <f>IF(Provozování!$Q$16="Neaktivní",0,Provozování!R44)</f>
        <v>0</v>
      </c>
      <c r="T109" s="9" t="s">
        <v>53</v>
      </c>
      <c r="U109" s="10" t="s">
        <v>54</v>
      </c>
      <c r="V109" s="11" t="s">
        <v>10</v>
      </c>
      <c r="W109" s="595">
        <v>0</v>
      </c>
      <c r="X109" s="49">
        <f>IF(Provozování!$Q$16="Neaktivní",F109,F109*Výpočty!$I$58+O109)</f>
        <v>0</v>
      </c>
      <c r="Y109" s="49">
        <f t="shared" ref="Y109:Y110" si="46">W109-X109</f>
        <v>0</v>
      </c>
      <c r="Z109" s="595">
        <v>0</v>
      </c>
      <c r="AA109" s="49">
        <f>IF(Provozování!$Q$16="Neaktivní",H109,H109*Výpočty!$I$58+Q109)</f>
        <v>0</v>
      </c>
      <c r="AB109" s="32">
        <f t="shared" ref="AB109:AB110" si="47">Z109-AA109</f>
        <v>0</v>
      </c>
      <c r="AC109" s="183"/>
      <c r="AD109" s="183"/>
      <c r="AE109" s="12" t="s">
        <v>407</v>
      </c>
      <c r="AF109" s="13" t="s">
        <v>409</v>
      </c>
      <c r="AG109" s="360">
        <f>Z134</f>
        <v>0</v>
      </c>
      <c r="AH109" s="360">
        <f>AB134</f>
        <v>1.4E-2</v>
      </c>
      <c r="AK109" s="183"/>
      <c r="AL109" s="183"/>
      <c r="AM109" s="183"/>
      <c r="AN109" s="183"/>
    </row>
    <row r="110" spans="2:40" x14ac:dyDescent="0.25">
      <c r="B110" s="9" t="s">
        <v>55</v>
      </c>
      <c r="C110" s="10" t="s">
        <v>56</v>
      </c>
      <c r="D110" s="11" t="s">
        <v>10</v>
      </c>
      <c r="E110" s="49">
        <v>0</v>
      </c>
      <c r="F110" s="589">
        <f>IF(YEAR(Postup!$H$25)&gt;$D$74,Provozování!O45,IF(AND(DAY(Postup!$H$25)=31,MONTH(Postup!$H$25)=12,YEAR(Postup!$H$25)=$D$74),Provozování!O45,IF(YEAR(Postup!$H$25)=$D$74,Provozování!$BL45,0)))</f>
        <v>0</v>
      </c>
      <c r="G110" s="49">
        <v>0</v>
      </c>
      <c r="H110" s="590">
        <f>IF(YEAR(Postup!$H$25)&gt;$D$74,Provozování!P45,IF(AND(DAY(Postup!$H$25)=31,MONTH(Postup!$H$25)=12,YEAR(Postup!$H$25)=$D$74),Provozování!P45,IF(YEAR(Postup!$H$25)=$D$74,Provozování!$BM45,0)))</f>
        <v>0</v>
      </c>
      <c r="K110" s="9" t="s">
        <v>55</v>
      </c>
      <c r="L110" s="10" t="s">
        <v>56</v>
      </c>
      <c r="M110" s="11" t="s">
        <v>10</v>
      </c>
      <c r="N110" s="49">
        <v>0</v>
      </c>
      <c r="O110" s="444">
        <f>IF(Provozování!$Q$16="Neaktivní",0,Provozování!Q45)</f>
        <v>0</v>
      </c>
      <c r="P110" s="49">
        <v>0</v>
      </c>
      <c r="Q110" s="443">
        <f>IF(Provozování!$Q$16="Neaktivní",0,Provozování!R45)</f>
        <v>0</v>
      </c>
      <c r="T110" s="9" t="s">
        <v>55</v>
      </c>
      <c r="U110" s="10" t="s">
        <v>56</v>
      </c>
      <c r="V110" s="11" t="s">
        <v>10</v>
      </c>
      <c r="W110" s="595">
        <v>0</v>
      </c>
      <c r="X110" s="49">
        <f>IF(Provozování!$Q$16="Neaktivní",F110,F110*Výpočty!$I$58+O110)</f>
        <v>0</v>
      </c>
      <c r="Y110" s="49">
        <f t="shared" si="46"/>
        <v>0</v>
      </c>
      <c r="Z110" s="595">
        <v>0</v>
      </c>
      <c r="AA110" s="49">
        <f>IF(Provozování!$Q$16="Neaktivní",H110,H110*Výpočty!$I$58+Q110)</f>
        <v>0</v>
      </c>
      <c r="AB110" s="32">
        <f t="shared" si="47"/>
        <v>0</v>
      </c>
      <c r="AC110" s="183"/>
      <c r="AD110" s="183"/>
      <c r="AE110" s="12" t="s">
        <v>411</v>
      </c>
      <c r="AF110" s="12" t="s">
        <v>419</v>
      </c>
      <c r="AG110" s="360">
        <f>X111-X101</f>
        <v>0</v>
      </c>
      <c r="AH110" s="360">
        <f>AA111-AA101</f>
        <v>0.28999999999999998</v>
      </c>
      <c r="AK110" s="183"/>
      <c r="AL110" s="183"/>
      <c r="AM110" s="183"/>
      <c r="AN110" s="183"/>
    </row>
    <row r="111" spans="2:40" x14ac:dyDescent="0.25">
      <c r="B111" s="9" t="s">
        <v>57</v>
      </c>
      <c r="C111" s="10" t="s">
        <v>58</v>
      </c>
      <c r="D111" s="11" t="s">
        <v>10</v>
      </c>
      <c r="E111" s="46">
        <f>E87+E92+E95+E98+E103+E107+E108+E109+E110</f>
        <v>0</v>
      </c>
      <c r="F111" s="46">
        <f>F87+F92+F95+F98+F103+F107+F108+F109+F110</f>
        <v>0</v>
      </c>
      <c r="G111" s="46">
        <f>G87+G92+G95+G98+G103+G107+G108+G109+G110</f>
        <v>0</v>
      </c>
      <c r="H111" s="98">
        <f>H87+H92+H95+H98+H103+H107+H108+H109+H110</f>
        <v>0.43</v>
      </c>
      <c r="K111" s="9" t="s">
        <v>57</v>
      </c>
      <c r="L111" s="10" t="s">
        <v>58</v>
      </c>
      <c r="M111" s="11" t="s">
        <v>10</v>
      </c>
      <c r="N111" s="46">
        <f>N87+N92+N95+N98+N103+N107+N108+N109+N110</f>
        <v>0</v>
      </c>
      <c r="O111" s="46">
        <f>O87+O92+O95+O98+O103+O107+O108+O109+O110</f>
        <v>0</v>
      </c>
      <c r="P111" s="46">
        <f>P87+P92+P95+P98+P103+P107+P108+P109+P110</f>
        <v>0</v>
      </c>
      <c r="Q111" s="98">
        <f>Q87+Q92+Q95+Q98+Q103+Q107+Q108+Q109+Q110</f>
        <v>0</v>
      </c>
      <c r="T111" s="9" t="s">
        <v>57</v>
      </c>
      <c r="U111" s="10" t="s">
        <v>58</v>
      </c>
      <c r="V111" s="11" t="s">
        <v>10</v>
      </c>
      <c r="W111" s="46">
        <f t="shared" ref="W111:AB111" si="48">W87+W92+W95+W98+W103+W107+W108+W109+W110</f>
        <v>0</v>
      </c>
      <c r="X111" s="46">
        <f t="shared" si="48"/>
        <v>0</v>
      </c>
      <c r="Y111" s="46">
        <f t="shared" si="48"/>
        <v>0</v>
      </c>
      <c r="Z111" s="46">
        <f t="shared" si="48"/>
        <v>0</v>
      </c>
      <c r="AA111" s="46">
        <f t="shared" si="48"/>
        <v>0.43</v>
      </c>
      <c r="AB111" s="98">
        <f t="shared" si="48"/>
        <v>-0.43</v>
      </c>
      <c r="AC111" s="183"/>
      <c r="AD111" s="183"/>
      <c r="AE111" s="12" t="s">
        <v>412</v>
      </c>
      <c r="AF111" s="12" t="s">
        <v>418</v>
      </c>
      <c r="AG111" s="360">
        <f>W111-W101</f>
        <v>0</v>
      </c>
      <c r="AH111" s="360">
        <f>Z111-Z101</f>
        <v>0</v>
      </c>
      <c r="AK111" s="183"/>
      <c r="AL111" s="183"/>
      <c r="AM111" s="183"/>
      <c r="AN111" s="183"/>
    </row>
    <row r="112" spans="2:40" x14ac:dyDescent="0.25">
      <c r="B112" s="12" t="s">
        <v>59</v>
      </c>
      <c r="C112" s="13" t="s">
        <v>112</v>
      </c>
      <c r="D112" s="3" t="s">
        <v>10</v>
      </c>
      <c r="E112" s="437">
        <v>0</v>
      </c>
      <c r="F112" s="591">
        <f>F42</f>
        <v>0</v>
      </c>
      <c r="G112" s="437">
        <v>0</v>
      </c>
      <c r="H112" s="593">
        <f>H42</f>
        <v>0</v>
      </c>
      <c r="K112" s="12" t="s">
        <v>59</v>
      </c>
      <c r="L112" s="13" t="s">
        <v>112</v>
      </c>
      <c r="M112" s="3" t="s">
        <v>10</v>
      </c>
      <c r="N112" s="437">
        <v>0</v>
      </c>
      <c r="O112" s="437">
        <f>IF(Provozování!$Q$16="Neaktivní",0,F112)</f>
        <v>0</v>
      </c>
      <c r="P112" s="437">
        <v>0</v>
      </c>
      <c r="Q112" s="438">
        <f>IF(Provozování!$Q$16="Neaktivní",0,H112)</f>
        <v>0</v>
      </c>
      <c r="T112" s="47" t="s">
        <v>59</v>
      </c>
      <c r="U112" s="13" t="s">
        <v>112</v>
      </c>
      <c r="V112" s="3" t="s">
        <v>10</v>
      </c>
      <c r="W112" s="591">
        <v>0</v>
      </c>
      <c r="X112" s="437">
        <f>F112</f>
        <v>0</v>
      </c>
      <c r="Y112" s="437">
        <f>W112-X112</f>
        <v>0</v>
      </c>
      <c r="Z112" s="591">
        <v>0</v>
      </c>
      <c r="AA112" s="437">
        <f>H112</f>
        <v>0</v>
      </c>
      <c r="AB112" s="438">
        <f>Z112-AA112</f>
        <v>0</v>
      </c>
      <c r="AC112" s="183"/>
      <c r="AD112" s="183"/>
      <c r="AE112" s="12" t="s">
        <v>430</v>
      </c>
      <c r="AF112" s="12" t="s">
        <v>431</v>
      </c>
      <c r="AG112" s="360">
        <f>Provozování!O$97</f>
        <v>0</v>
      </c>
      <c r="AH112" s="360">
        <f>Provozování!P$97</f>
        <v>0</v>
      </c>
      <c r="AK112" s="183"/>
      <c r="AL112" s="183"/>
      <c r="AM112" s="183"/>
      <c r="AN112" s="183"/>
    </row>
    <row r="113" spans="2:40" x14ac:dyDescent="0.25">
      <c r="B113" s="12" t="s">
        <v>60</v>
      </c>
      <c r="C113" s="13" t="s">
        <v>113</v>
      </c>
      <c r="D113" s="3" t="s">
        <v>10</v>
      </c>
      <c r="E113" s="437">
        <v>0</v>
      </c>
      <c r="F113" s="591">
        <f>F43</f>
        <v>0</v>
      </c>
      <c r="G113" s="437">
        <v>0</v>
      </c>
      <c r="H113" s="593">
        <f>H43</f>
        <v>0</v>
      </c>
      <c r="K113" s="12" t="s">
        <v>60</v>
      </c>
      <c r="L113" s="13" t="s">
        <v>113</v>
      </c>
      <c r="M113" s="3" t="s">
        <v>10</v>
      </c>
      <c r="N113" s="437">
        <v>0</v>
      </c>
      <c r="O113" s="437">
        <f>IF(Provozování!$Q$16="Neaktivní",0,F113)</f>
        <v>0</v>
      </c>
      <c r="P113" s="437">
        <v>0</v>
      </c>
      <c r="Q113" s="438">
        <f>IF(Provozování!$Q$16="Neaktivní",0,H113)</f>
        <v>0</v>
      </c>
      <c r="T113" s="12" t="s">
        <v>60</v>
      </c>
      <c r="U113" s="13" t="s">
        <v>113</v>
      </c>
      <c r="V113" s="3" t="s">
        <v>10</v>
      </c>
      <c r="W113" s="591">
        <v>0</v>
      </c>
      <c r="X113" s="437">
        <f>F113</f>
        <v>0</v>
      </c>
      <c r="Y113" s="437">
        <f>W113-X113</f>
        <v>0</v>
      </c>
      <c r="Z113" s="591">
        <v>0</v>
      </c>
      <c r="AA113" s="437">
        <f>H113</f>
        <v>0</v>
      </c>
      <c r="AB113" s="438">
        <f>Z113-AA113</f>
        <v>0</v>
      </c>
      <c r="AC113" s="183"/>
      <c r="AD113" s="183"/>
      <c r="AE113" s="554" t="s">
        <v>434</v>
      </c>
      <c r="AF113" s="555"/>
      <c r="AG113" s="959">
        <f>(AG107*AG108-AG107*AG109)+(AG110-AG111)-AG112</f>
        <v>0</v>
      </c>
      <c r="AH113" s="959">
        <f ca="1">(AH107*AH108-AH107*AH109)+(AH110-AH111)-AH112</f>
        <v>-0.14775865420790801</v>
      </c>
      <c r="AK113" s="183"/>
      <c r="AL113" s="183"/>
      <c r="AM113" s="183"/>
      <c r="AN113" s="183"/>
    </row>
    <row r="114" spans="2:40" x14ac:dyDescent="0.25">
      <c r="B114" s="12" t="s">
        <v>61</v>
      </c>
      <c r="C114" s="13" t="s">
        <v>62</v>
      </c>
      <c r="D114" s="3" t="s">
        <v>63</v>
      </c>
      <c r="E114" s="439">
        <v>0</v>
      </c>
      <c r="F114" s="592">
        <f>F44</f>
        <v>0</v>
      </c>
      <c r="G114" s="439">
        <v>0</v>
      </c>
      <c r="H114" s="592">
        <f>H44</f>
        <v>0</v>
      </c>
      <c r="K114" s="12" t="s">
        <v>61</v>
      </c>
      <c r="L114" s="13" t="s">
        <v>62</v>
      </c>
      <c r="M114" s="3" t="s">
        <v>63</v>
      </c>
      <c r="N114" s="439">
        <v>0</v>
      </c>
      <c r="O114" s="437">
        <f>IF(Provozování!$Q$16="Neaktivní",0,F114)</f>
        <v>0</v>
      </c>
      <c r="P114" s="439">
        <v>0</v>
      </c>
      <c r="Q114" s="438">
        <f>IF(Provozování!$Q$16="Neaktivní",0,H114)</f>
        <v>0</v>
      </c>
      <c r="T114" s="12" t="s">
        <v>61</v>
      </c>
      <c r="U114" s="13" t="s">
        <v>62</v>
      </c>
      <c r="V114" s="3" t="s">
        <v>63</v>
      </c>
      <c r="W114" s="599">
        <v>0</v>
      </c>
      <c r="X114" s="439">
        <f>F114</f>
        <v>0</v>
      </c>
      <c r="Y114" s="440">
        <f>W114-X114</f>
        <v>0</v>
      </c>
      <c r="Z114" s="599">
        <v>0</v>
      </c>
      <c r="AA114" s="439">
        <f>H114</f>
        <v>0</v>
      </c>
      <c r="AB114" s="440">
        <f>Z114-AA114</f>
        <v>0</v>
      </c>
      <c r="AC114" s="183"/>
      <c r="AD114" s="183"/>
      <c r="AE114" s="544" t="s">
        <v>432</v>
      </c>
      <c r="AF114" s="543"/>
      <c r="AG114" s="960"/>
      <c r="AH114" s="960"/>
      <c r="AK114" s="183"/>
      <c r="AL114" s="183"/>
      <c r="AM114" s="183"/>
      <c r="AN114" s="183"/>
    </row>
    <row r="115" spans="2:40" x14ac:dyDescent="0.25">
      <c r="B115" s="12" t="s">
        <v>64</v>
      </c>
      <c r="C115" s="13" t="s">
        <v>65</v>
      </c>
      <c r="D115" s="3" t="s">
        <v>66</v>
      </c>
      <c r="E115" s="49">
        <v>0</v>
      </c>
      <c r="F115" s="49">
        <f>IF(YEAR(Postup!$H$25)&gt;$D$74,Provozování!O47,IF(AND(DAY(Postup!$H$25)=31,MONTH(Postup!$H$25)=12,YEAR(Postup!$H$25)=$D$74),Provozování!O47,IF(YEAR(Postup!$H$25)=$D$74,Provozování!$BL47,0)))</f>
        <v>0</v>
      </c>
      <c r="G115" s="49">
        <v>0</v>
      </c>
      <c r="H115" s="442">
        <v>0</v>
      </c>
      <c r="K115" s="12" t="s">
        <v>64</v>
      </c>
      <c r="L115" s="13" t="s">
        <v>65</v>
      </c>
      <c r="M115" s="3" t="s">
        <v>66</v>
      </c>
      <c r="N115" s="49">
        <v>0</v>
      </c>
      <c r="O115" s="49">
        <f>IF(Provozování!$Q$16="Neaktivní",0,Provozování!Q47)</f>
        <v>0</v>
      </c>
      <c r="P115" s="49">
        <v>0</v>
      </c>
      <c r="Q115" s="442">
        <v>0</v>
      </c>
      <c r="T115" s="12" t="s">
        <v>64</v>
      </c>
      <c r="U115" s="13" t="s">
        <v>65</v>
      </c>
      <c r="V115" s="3" t="s">
        <v>66</v>
      </c>
      <c r="W115" s="595">
        <v>0</v>
      </c>
      <c r="X115" s="49">
        <f>IF(Provozování!$Q$16="Neaktivní",F115,F115*Výpočty!$I$58+O115)</f>
        <v>0</v>
      </c>
      <c r="Y115" s="49">
        <f>W115-X115</f>
        <v>0</v>
      </c>
      <c r="Z115" s="445">
        <v>0</v>
      </c>
      <c r="AA115" s="445">
        <v>0</v>
      </c>
      <c r="AB115" s="442">
        <v>0</v>
      </c>
      <c r="AC115" s="183"/>
      <c r="AD115" s="183"/>
      <c r="AE115" s="963" t="s">
        <v>416</v>
      </c>
      <c r="AF115" s="964"/>
      <c r="AG115" s="957" t="str">
        <f>IF(AG113&gt;0,"úspora",IF(AG113&lt;0,"ztráta provozovatele","-"))</f>
        <v>-</v>
      </c>
      <c r="AH115" s="957" t="str">
        <f ca="1">IF(AH113&gt;0,"úspora",IF(AH113&lt;0,"ztráta provozovatele","-"))</f>
        <v>ztráta provozovatele</v>
      </c>
      <c r="AK115" s="183"/>
      <c r="AL115" s="183"/>
      <c r="AM115" s="183"/>
      <c r="AN115" s="183"/>
    </row>
    <row r="116" spans="2:40" x14ac:dyDescent="0.25">
      <c r="B116" s="12" t="s">
        <v>67</v>
      </c>
      <c r="C116" s="13" t="s">
        <v>68</v>
      </c>
      <c r="D116" s="3" t="s">
        <v>66</v>
      </c>
      <c r="E116" s="49">
        <v>0</v>
      </c>
      <c r="F116" s="49">
        <f>IF(YEAR(Postup!$H$25)&gt;$D$74,Provozování!O48,IF(AND(DAY(Postup!$H$25)=31,MONTH(Postup!$H$25)=12,YEAR(Postup!$H$25)=$D$74),Provozování!O48,IF(YEAR(Postup!$H$25)=$D$74,Provozování!$BL48,0)))</f>
        <v>0</v>
      </c>
      <c r="G116" s="49">
        <v>0</v>
      </c>
      <c r="H116" s="442">
        <v>0</v>
      </c>
      <c r="K116" s="12" t="s">
        <v>67</v>
      </c>
      <c r="L116" s="13" t="s">
        <v>68</v>
      </c>
      <c r="M116" s="3" t="s">
        <v>66</v>
      </c>
      <c r="N116" s="49">
        <v>0</v>
      </c>
      <c r="O116" s="49">
        <f>IF(Provozování!$Q$16="Neaktivní",0,Provozování!Q48)</f>
        <v>0</v>
      </c>
      <c r="P116" s="49">
        <v>0</v>
      </c>
      <c r="Q116" s="442">
        <v>0</v>
      </c>
      <c r="T116" s="12" t="s">
        <v>67</v>
      </c>
      <c r="U116" s="13" t="s">
        <v>68</v>
      </c>
      <c r="V116" s="3" t="s">
        <v>66</v>
      </c>
      <c r="W116" s="595">
        <v>0</v>
      </c>
      <c r="X116" s="49">
        <f>IF(Provozování!$Q$16="Neaktivní",F116,F116*Výpočty!$I$58+O116)</f>
        <v>0</v>
      </c>
      <c r="Y116" s="49">
        <f>W116-X116</f>
        <v>0</v>
      </c>
      <c r="Z116" s="445">
        <v>0</v>
      </c>
      <c r="AA116" s="445">
        <v>0</v>
      </c>
      <c r="AB116" s="442">
        <v>0</v>
      </c>
      <c r="AC116" s="183"/>
      <c r="AD116" s="183"/>
      <c r="AE116" s="965"/>
      <c r="AF116" s="966"/>
      <c r="AG116" s="958"/>
      <c r="AH116" s="958"/>
      <c r="AK116" s="183"/>
      <c r="AL116" s="183"/>
      <c r="AM116" s="183"/>
      <c r="AN116" s="183"/>
    </row>
    <row r="117" spans="2:40" x14ac:dyDescent="0.25">
      <c r="B117" s="12" t="s">
        <v>69</v>
      </c>
      <c r="C117" s="13" t="s">
        <v>70</v>
      </c>
      <c r="D117" s="3" t="s">
        <v>66</v>
      </c>
      <c r="E117" s="49">
        <v>0</v>
      </c>
      <c r="F117" s="445">
        <v>0</v>
      </c>
      <c r="G117" s="49">
        <v>0</v>
      </c>
      <c r="H117" s="32">
        <f>IF(YEAR(Postup!$H$25)&gt;$D$74,Provozování!P49,IF(AND(DAY(Postup!$H$25)=31,MONTH(Postup!$H$25)=12,YEAR(Postup!$H$25)=$D$74),Provozování!P49,IF(YEAR(Postup!$H$25)=$D$74,Provozování!$BM49,0)))</f>
        <v>1.4E-2</v>
      </c>
      <c r="K117" s="12" t="s">
        <v>69</v>
      </c>
      <c r="L117" s="13" t="s">
        <v>70</v>
      </c>
      <c r="M117" s="3" t="s">
        <v>66</v>
      </c>
      <c r="N117" s="49">
        <v>0</v>
      </c>
      <c r="O117" s="445">
        <v>0</v>
      </c>
      <c r="P117" s="49">
        <v>0</v>
      </c>
      <c r="Q117" s="59">
        <f>IF(Provozování!$Q$16="Neaktivní",0,Provozování!R49)</f>
        <v>0</v>
      </c>
      <c r="T117" s="12" t="s">
        <v>69</v>
      </c>
      <c r="U117" s="13" t="s">
        <v>70</v>
      </c>
      <c r="V117" s="3" t="s">
        <v>66</v>
      </c>
      <c r="W117" s="445">
        <v>0</v>
      </c>
      <c r="X117" s="445">
        <v>0</v>
      </c>
      <c r="Y117" s="445">
        <v>0</v>
      </c>
      <c r="Z117" s="595">
        <v>0</v>
      </c>
      <c r="AA117" s="49">
        <f>IF(Provozování!$Q$16="Neaktivní",H117,H117*Výpočty!$I$58+Q117)</f>
        <v>1.4E-2</v>
      </c>
      <c r="AB117" s="32">
        <f t="shared" ref="AB117:AB122" si="49">Z117-AA117</f>
        <v>-1.4E-2</v>
      </c>
      <c r="AC117" s="183"/>
      <c r="AD117" s="183"/>
      <c r="AE117" s="533" t="s">
        <v>422</v>
      </c>
      <c r="AF117" s="533"/>
      <c r="AG117" s="453">
        <f>IF(AG113&gt;0,AG113/AG110,0)</f>
        <v>0</v>
      </c>
      <c r="AH117" s="453">
        <f ca="1">IF(AH113&gt;0,AH113/AH110,0)</f>
        <v>0</v>
      </c>
      <c r="AK117" s="183"/>
      <c r="AL117" s="183"/>
      <c r="AM117" s="183"/>
      <c r="AN117" s="183"/>
    </row>
    <row r="118" spans="2:40" x14ac:dyDescent="0.25">
      <c r="B118" s="12" t="s">
        <v>71</v>
      </c>
      <c r="C118" s="13" t="s">
        <v>68</v>
      </c>
      <c r="D118" s="3" t="s">
        <v>66</v>
      </c>
      <c r="E118" s="49">
        <v>0</v>
      </c>
      <c r="F118" s="445">
        <v>0</v>
      </c>
      <c r="G118" s="49">
        <v>0</v>
      </c>
      <c r="H118" s="32">
        <f>IF(YEAR(Postup!$H$25)&gt;$D$74,Provozování!P50,IF(AND(DAY(Postup!$H$25)=31,MONTH(Postup!$H$25)=12,YEAR(Postup!$H$25)=$D$74),Provozování!P50,IF(YEAR(Postup!$H$25)=$D$74,Provozování!$BM50,0)))</f>
        <v>7.4190000000000002E-3</v>
      </c>
      <c r="K118" s="12" t="s">
        <v>71</v>
      </c>
      <c r="L118" s="13" t="s">
        <v>68</v>
      </c>
      <c r="M118" s="3" t="s">
        <v>66</v>
      </c>
      <c r="N118" s="49">
        <v>0</v>
      </c>
      <c r="O118" s="445">
        <v>0</v>
      </c>
      <c r="P118" s="49">
        <v>0</v>
      </c>
      <c r="Q118" s="59">
        <f>IF(Provozování!$Q$16="Neaktivní",0,Provozování!R50)</f>
        <v>0</v>
      </c>
      <c r="T118" s="12" t="s">
        <v>71</v>
      </c>
      <c r="U118" s="13" t="s">
        <v>68</v>
      </c>
      <c r="V118" s="3" t="s">
        <v>66</v>
      </c>
      <c r="W118" s="445">
        <v>0</v>
      </c>
      <c r="X118" s="445">
        <v>0</v>
      </c>
      <c r="Y118" s="445">
        <v>0</v>
      </c>
      <c r="Z118" s="595">
        <v>0</v>
      </c>
      <c r="AA118" s="49">
        <f>IF(Provozování!$Q$16="Neaktivní",H118,H118*Výpočty!$I$58+Q118)</f>
        <v>7.4190000000000002E-3</v>
      </c>
      <c r="AB118" s="32">
        <f t="shared" si="49"/>
        <v>-7.4190000000000002E-3</v>
      </c>
      <c r="AC118" s="183"/>
      <c r="AD118" s="183"/>
      <c r="AE118" s="556" t="s">
        <v>402</v>
      </c>
      <c r="AF118" s="556"/>
      <c r="AG118" s="961">
        <f>IF(AG117&gt;0,AG110*AI119*0.5,0)</f>
        <v>0</v>
      </c>
      <c r="AH118" s="961">
        <f ca="1">IF(AH117&gt;0,AH110*AJ119*0.5,0)</f>
        <v>0</v>
      </c>
      <c r="AK118" s="183"/>
      <c r="AL118" s="183"/>
      <c r="AM118" s="183"/>
      <c r="AN118" s="183"/>
    </row>
    <row r="119" spans="2:40" x14ac:dyDescent="0.25">
      <c r="B119" s="12" t="s">
        <v>72</v>
      </c>
      <c r="C119" s="13" t="s">
        <v>73</v>
      </c>
      <c r="D119" s="3" t="s">
        <v>66</v>
      </c>
      <c r="E119" s="49">
        <v>0</v>
      </c>
      <c r="F119" s="445">
        <v>0</v>
      </c>
      <c r="G119" s="49">
        <v>0</v>
      </c>
      <c r="H119" s="32">
        <f>IF(YEAR(Postup!$H$25)&gt;$D$74,Provozování!P51,IF(AND(DAY(Postup!$H$25)=31,MONTH(Postup!$H$25)=12,YEAR(Postup!$H$25)=$D$74),Provozování!P51,IF(YEAR(Postup!$H$25)=$D$74,Provozování!$BM51,0)))</f>
        <v>0</v>
      </c>
      <c r="K119" s="12" t="s">
        <v>72</v>
      </c>
      <c r="L119" s="13" t="s">
        <v>73</v>
      </c>
      <c r="M119" s="3" t="s">
        <v>66</v>
      </c>
      <c r="N119" s="49">
        <v>0</v>
      </c>
      <c r="O119" s="445">
        <v>0</v>
      </c>
      <c r="P119" s="49">
        <v>0</v>
      </c>
      <c r="Q119" s="59">
        <f>IF(Provozování!$Q$16="Neaktivní",0,Provozování!R51)</f>
        <v>0</v>
      </c>
      <c r="T119" s="12" t="s">
        <v>72</v>
      </c>
      <c r="U119" s="13" t="s">
        <v>73</v>
      </c>
      <c r="V119" s="3" t="s">
        <v>66</v>
      </c>
      <c r="W119" s="445">
        <v>0</v>
      </c>
      <c r="X119" s="445">
        <v>0</v>
      </c>
      <c r="Y119" s="445">
        <v>0</v>
      </c>
      <c r="Z119" s="595">
        <v>0</v>
      </c>
      <c r="AA119" s="49">
        <f>IF(Provozování!$Q$16="Neaktivní",H119,H119*Výpočty!$I$58+Q119)</f>
        <v>0</v>
      </c>
      <c r="AB119" s="32">
        <f t="shared" si="49"/>
        <v>0</v>
      </c>
      <c r="AC119" s="183"/>
      <c r="AD119" s="183"/>
      <c r="AE119" s="557" t="s">
        <v>413</v>
      </c>
      <c r="AF119" s="557"/>
      <c r="AG119" s="962"/>
      <c r="AH119" s="962"/>
      <c r="AI119" s="454">
        <f>IF(AG117&gt;0.05,0.05,AG117)</f>
        <v>0</v>
      </c>
      <c r="AJ119" s="454">
        <f ca="1">IF(AH117&gt;0.05,0.05,AH117)</f>
        <v>0</v>
      </c>
      <c r="AK119" s="183"/>
      <c r="AL119" s="183"/>
      <c r="AM119" s="183"/>
      <c r="AN119" s="183"/>
    </row>
    <row r="120" spans="2:40" x14ac:dyDescent="0.25">
      <c r="B120" s="12" t="s">
        <v>74</v>
      </c>
      <c r="C120" s="13" t="s">
        <v>75</v>
      </c>
      <c r="D120" s="3" t="s">
        <v>66</v>
      </c>
      <c r="E120" s="49">
        <v>0</v>
      </c>
      <c r="F120" s="445">
        <v>0</v>
      </c>
      <c r="G120" s="49">
        <v>0</v>
      </c>
      <c r="H120" s="32">
        <f>IF(YEAR(Postup!$H$25)&gt;$D$74,Provozování!P52,IF(AND(DAY(Postup!$H$25)=31,MONTH(Postup!$H$25)=12,YEAR(Postup!$H$25)=$D$74),Provozování!P52,IF(YEAR(Postup!$H$25)=$D$74,Provozování!$BM52,0)))</f>
        <v>0</v>
      </c>
      <c r="K120" s="12" t="s">
        <v>74</v>
      </c>
      <c r="L120" s="13" t="s">
        <v>75</v>
      </c>
      <c r="M120" s="3" t="s">
        <v>66</v>
      </c>
      <c r="N120" s="49">
        <v>0</v>
      </c>
      <c r="O120" s="445">
        <v>0</v>
      </c>
      <c r="P120" s="49">
        <v>0</v>
      </c>
      <c r="Q120" s="59">
        <f>IF(Provozování!$Q$16="Neaktivní",0,Provozování!R52)</f>
        <v>0</v>
      </c>
      <c r="T120" s="12" t="s">
        <v>74</v>
      </c>
      <c r="U120" s="13" t="s">
        <v>75</v>
      </c>
      <c r="V120" s="3" t="s">
        <v>66</v>
      </c>
      <c r="W120" s="445">
        <v>0</v>
      </c>
      <c r="X120" s="445">
        <v>0</v>
      </c>
      <c r="Y120" s="445">
        <v>0</v>
      </c>
      <c r="Z120" s="595">
        <v>0</v>
      </c>
      <c r="AA120" s="49">
        <f>IF(Provozování!$Q$16="Neaktivní",H120,H120*Výpočty!$I$58+Q120)</f>
        <v>0</v>
      </c>
      <c r="AB120" s="32">
        <f t="shared" si="49"/>
        <v>0</v>
      </c>
      <c r="AC120" s="183"/>
      <c r="AD120" s="183"/>
      <c r="AE120" s="534" t="s">
        <v>414</v>
      </c>
      <c r="AF120" s="534"/>
      <c r="AG120" s="360">
        <f>IF(AI120&gt;0,AG110*(AI120-0.05)*0.8,0)</f>
        <v>0</v>
      </c>
      <c r="AH120" s="360">
        <f ca="1">IF(AJ120&gt;0,AH110*(AJ120-0.05)*0.8,0)</f>
        <v>0</v>
      </c>
      <c r="AI120" s="454">
        <f>IF(AND(AG117&gt;0.05,AG117&lt;=0.1),AG117,IF(AG117&lt;=0.05,0,0.1))</f>
        <v>0</v>
      </c>
      <c r="AJ120" s="454">
        <f ca="1">IF(AND(AH117&gt;0.05,AH117&lt;=0.1),AH117,IF(AH117&lt;=0.05,0,0.1))</f>
        <v>0</v>
      </c>
      <c r="AK120" s="183"/>
      <c r="AL120" s="183"/>
      <c r="AM120" s="183"/>
      <c r="AN120" s="183"/>
    </row>
    <row r="121" spans="2:40" x14ac:dyDescent="0.25">
      <c r="B121" s="12" t="s">
        <v>76</v>
      </c>
      <c r="C121" s="13" t="s">
        <v>77</v>
      </c>
      <c r="D121" s="3" t="s">
        <v>66</v>
      </c>
      <c r="E121" s="49">
        <v>0</v>
      </c>
      <c r="F121" s="49">
        <f>IF(YEAR(Postup!$H$25)&gt;$D$74,Provozování!O53,IF(AND(DAY(Postup!$H$25)=31,MONTH(Postup!$H$25)=12,YEAR(Postup!$H$25)=$D$74),Provozování!O53,IF(YEAR(Postup!$H$25)=$D$74,Provozování!$BL53,0)))</f>
        <v>0</v>
      </c>
      <c r="G121" s="49">
        <v>0</v>
      </c>
      <c r="H121" s="32">
        <f>IF(YEAR(Postup!$H$25)&gt;$D$74,Provozování!P53,IF(AND(DAY(Postup!$H$25)=31,MONTH(Postup!$H$25)=12,YEAR(Postup!$H$25)=$D$74),Provozování!P53,IF(YEAR(Postup!$H$25)=$D$74,Provozování!$BM53,0)))</f>
        <v>0</v>
      </c>
      <c r="K121" s="12" t="s">
        <v>76</v>
      </c>
      <c r="L121" s="13" t="s">
        <v>77</v>
      </c>
      <c r="M121" s="3" t="s">
        <v>66</v>
      </c>
      <c r="N121" s="49">
        <v>0</v>
      </c>
      <c r="O121" s="49">
        <f>IF(Provozování!$Q$16="Neaktivní",0,Provozování!Q53)</f>
        <v>0</v>
      </c>
      <c r="P121" s="49">
        <v>0</v>
      </c>
      <c r="Q121" s="59">
        <f>IF(Provozování!$Q$16="Neaktivní",0,Provozování!R53)</f>
        <v>0</v>
      </c>
      <c r="T121" s="12" t="s">
        <v>76</v>
      </c>
      <c r="U121" s="13" t="s">
        <v>77</v>
      </c>
      <c r="V121" s="3" t="s">
        <v>66</v>
      </c>
      <c r="W121" s="595">
        <v>0</v>
      </c>
      <c r="X121" s="49">
        <f>IF(Provozování!$Q$16="Neaktivní",F121,F121*Výpočty!$I$58+O121)</f>
        <v>0</v>
      </c>
      <c r="Y121" s="49">
        <f>W121-X121</f>
        <v>0</v>
      </c>
      <c r="Z121" s="595">
        <v>0</v>
      </c>
      <c r="AA121" s="49">
        <f>IF(Provozování!$Q$16="Neaktivní",H121,H121*Výpočty!$I$58+Q121)</f>
        <v>0</v>
      </c>
      <c r="AB121" s="32">
        <f t="shared" si="49"/>
        <v>0</v>
      </c>
      <c r="AC121" s="183"/>
      <c r="AD121" s="183"/>
      <c r="AE121" s="534" t="s">
        <v>415</v>
      </c>
      <c r="AF121" s="534"/>
      <c r="AG121" s="360">
        <f>IF(AI121&gt;0,AG110*(AI121-0.1)*1,0)</f>
        <v>0</v>
      </c>
      <c r="AH121" s="360">
        <f ca="1">IF(AJ121&gt;0,AH110*(AJ121-0.1)*1,0)</f>
        <v>0</v>
      </c>
      <c r="AI121" s="454">
        <f>IF(AG117&gt;0.1,AG117,0)</f>
        <v>0</v>
      </c>
      <c r="AJ121" s="454">
        <f ca="1">IF(AH117&gt;0.1,AH117,0)</f>
        <v>0</v>
      </c>
      <c r="AK121" s="183"/>
      <c r="AL121" s="183"/>
      <c r="AM121" s="183"/>
      <c r="AN121" s="183"/>
    </row>
    <row r="122" spans="2:40" x14ac:dyDescent="0.25">
      <c r="B122" s="12" t="s">
        <v>78</v>
      </c>
      <c r="C122" s="13" t="s">
        <v>79</v>
      </c>
      <c r="D122" s="3" t="s">
        <v>66</v>
      </c>
      <c r="E122" s="49">
        <v>0</v>
      </c>
      <c r="F122" s="49">
        <f>IF(YEAR(Postup!$H$25)&gt;$D$74,Provozování!O54,IF(AND(DAY(Postup!$H$25)=31,MONTH(Postup!$H$25)=12,YEAR(Postup!$H$25)=$D$74),Provozování!O54,IF(YEAR(Postup!$H$25)=$D$74,Provozování!$BL54,0)))</f>
        <v>0</v>
      </c>
      <c r="G122" s="49">
        <v>0</v>
      </c>
      <c r="H122" s="32">
        <f>IF(YEAR(Postup!$H$25)&gt;$D$74,Provozování!P54,IF(AND(DAY(Postup!$H$25)=31,MONTH(Postup!$H$25)=12,YEAR(Postup!$H$25)=$D$74),Provozování!P54,IF(YEAR(Postup!$H$25)=$D$74,Provozování!$BM54,0)))</f>
        <v>1.4E-2</v>
      </c>
      <c r="K122" s="12" t="s">
        <v>78</v>
      </c>
      <c r="L122" s="13" t="s">
        <v>79</v>
      </c>
      <c r="M122" s="3" t="s">
        <v>66</v>
      </c>
      <c r="N122" s="49">
        <v>0</v>
      </c>
      <c r="O122" s="49">
        <f>IF(Provozování!$Q$16="Neaktivní",0,Provozování!Q54)</f>
        <v>0</v>
      </c>
      <c r="P122" s="49">
        <v>0</v>
      </c>
      <c r="Q122" s="32">
        <f>IF(Provozování!$Q$16="Neaktivní",0,Provozování!R54)</f>
        <v>0</v>
      </c>
      <c r="T122" s="12" t="s">
        <v>78</v>
      </c>
      <c r="U122" s="13" t="s">
        <v>79</v>
      </c>
      <c r="V122" s="3" t="s">
        <v>66</v>
      </c>
      <c r="W122" s="595">
        <v>0</v>
      </c>
      <c r="X122" s="49">
        <f>IF(Provozování!$Q$16="Neaktivní",F122,F122*Výpočty!$I$58+O122)</f>
        <v>0</v>
      </c>
      <c r="Y122" s="49">
        <f>W122-X122</f>
        <v>0</v>
      </c>
      <c r="Z122" s="595">
        <v>0</v>
      </c>
      <c r="AA122" s="49">
        <f>IF(Provozování!$Q$16="Neaktivní",H122,H122*Výpočty!$I$58+Q122)</f>
        <v>1.4E-2</v>
      </c>
      <c r="AB122" s="32">
        <f t="shared" si="49"/>
        <v>-1.4E-2</v>
      </c>
      <c r="AC122" s="183"/>
      <c r="AD122" s="183"/>
      <c r="AE122" s="532" t="s">
        <v>403</v>
      </c>
      <c r="AF122" s="532"/>
      <c r="AG122" s="455">
        <f>SUM(AG118:AG121)</f>
        <v>0</v>
      </c>
      <c r="AH122" s="455">
        <f ca="1">SUM(AH118:AH121)</f>
        <v>0</v>
      </c>
      <c r="AK122" s="183"/>
      <c r="AL122" s="183"/>
      <c r="AM122" s="183"/>
      <c r="AN122" s="183"/>
    </row>
    <row r="123" spans="2:40" x14ac:dyDescent="0.25">
      <c r="B123" s="1"/>
      <c r="C123" s="1"/>
      <c r="D123" s="1"/>
      <c r="E123" s="1"/>
      <c r="F123" s="456"/>
      <c r="G123" s="1"/>
      <c r="H123" s="456"/>
      <c r="K123" s="1"/>
      <c r="L123" s="1"/>
      <c r="M123" s="1"/>
      <c r="N123" s="1"/>
      <c r="O123" s="1"/>
      <c r="P123" s="1"/>
      <c r="Q123" s="1"/>
      <c r="T123" s="1"/>
      <c r="U123" s="1"/>
      <c r="V123" s="1"/>
      <c r="W123" s="1"/>
      <c r="X123" s="1"/>
      <c r="Y123" s="1"/>
      <c r="Z123" s="1"/>
      <c r="AA123" s="1"/>
      <c r="AB123" s="1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</row>
    <row r="124" spans="2:40" x14ac:dyDescent="0.25">
      <c r="B124" s="932" t="s">
        <v>5</v>
      </c>
      <c r="C124" s="721" t="s">
        <v>80</v>
      </c>
      <c r="D124" s="722"/>
      <c r="E124" s="723"/>
      <c r="F124" s="724"/>
      <c r="G124" s="722"/>
      <c r="H124" s="725"/>
      <c r="K124" s="932" t="s">
        <v>5</v>
      </c>
      <c r="L124" s="721" t="s">
        <v>80</v>
      </c>
      <c r="M124" s="722"/>
      <c r="N124" s="723"/>
      <c r="O124" s="724"/>
      <c r="P124" s="722"/>
      <c r="Q124" s="725"/>
      <c r="T124" s="771" t="s">
        <v>5</v>
      </c>
      <c r="U124" s="721" t="s">
        <v>80</v>
      </c>
      <c r="V124" s="722"/>
      <c r="W124" s="723"/>
      <c r="X124" s="723"/>
      <c r="Y124" s="724"/>
      <c r="Z124" s="722"/>
      <c r="AA124" s="722"/>
      <c r="AB124" s="725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</row>
    <row r="125" spans="2:40" ht="15" customHeight="1" x14ac:dyDescent="0.25">
      <c r="B125" s="930"/>
      <c r="C125" s="932" t="s">
        <v>81</v>
      </c>
      <c r="D125" s="929" t="s">
        <v>173</v>
      </c>
      <c r="E125" s="874" t="s">
        <v>118</v>
      </c>
      <c r="F125" s="937"/>
      <c r="G125" s="26" t="s">
        <v>3</v>
      </c>
      <c r="H125" s="23" t="s">
        <v>4</v>
      </c>
      <c r="K125" s="930"/>
      <c r="L125" s="5" t="s">
        <v>81</v>
      </c>
      <c r="M125" s="929" t="s">
        <v>173</v>
      </c>
      <c r="N125" s="874" t="s">
        <v>118</v>
      </c>
      <c r="O125" s="937"/>
      <c r="P125" s="26" t="s">
        <v>3</v>
      </c>
      <c r="Q125" s="23" t="s">
        <v>4</v>
      </c>
      <c r="T125" s="934"/>
      <c r="U125" s="932" t="s">
        <v>81</v>
      </c>
      <c r="V125" s="929" t="s">
        <v>173</v>
      </c>
      <c r="W125" s="874" t="s">
        <v>118</v>
      </c>
      <c r="X125" s="937"/>
      <c r="Y125" s="874" t="s">
        <v>3</v>
      </c>
      <c r="Z125" s="939"/>
      <c r="AA125" s="940" t="s">
        <v>4</v>
      </c>
      <c r="AB125" s="940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</row>
    <row r="126" spans="2:40" x14ac:dyDescent="0.25">
      <c r="B126" s="931"/>
      <c r="C126" s="931"/>
      <c r="D126" s="936"/>
      <c r="E126" s="875"/>
      <c r="F126" s="938"/>
      <c r="G126" s="27" t="s">
        <v>7</v>
      </c>
      <c r="H126" s="24" t="s">
        <v>7</v>
      </c>
      <c r="K126" s="931"/>
      <c r="L126" s="8"/>
      <c r="M126" s="936"/>
      <c r="N126" s="875"/>
      <c r="O126" s="938"/>
      <c r="P126" s="27" t="s">
        <v>7</v>
      </c>
      <c r="Q126" s="24" t="s">
        <v>7</v>
      </c>
      <c r="T126" s="935"/>
      <c r="U126" s="931"/>
      <c r="V126" s="936"/>
      <c r="W126" s="875"/>
      <c r="X126" s="938"/>
      <c r="Y126" s="40" t="s">
        <v>196</v>
      </c>
      <c r="Z126" s="40" t="s">
        <v>7</v>
      </c>
      <c r="AA126" s="40" t="s">
        <v>196</v>
      </c>
      <c r="AB126" s="40" t="s">
        <v>7</v>
      </c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</row>
    <row r="127" spans="2:40" x14ac:dyDescent="0.25">
      <c r="B127" s="11">
        <v>1</v>
      </c>
      <c r="C127" s="11">
        <v>2</v>
      </c>
      <c r="D127" s="11" t="s">
        <v>111</v>
      </c>
      <c r="E127" s="735" t="s">
        <v>115</v>
      </c>
      <c r="F127" s="736"/>
      <c r="G127" s="11" t="s">
        <v>116</v>
      </c>
      <c r="H127" s="22" t="s">
        <v>117</v>
      </c>
      <c r="K127" s="11">
        <v>1</v>
      </c>
      <c r="L127" s="11">
        <v>2</v>
      </c>
      <c r="M127" s="11" t="s">
        <v>111</v>
      </c>
      <c r="N127" s="735" t="s">
        <v>115</v>
      </c>
      <c r="O127" s="736"/>
      <c r="P127" s="11" t="s">
        <v>116</v>
      </c>
      <c r="Q127" s="22" t="s">
        <v>117</v>
      </c>
      <c r="T127" s="11">
        <v>1</v>
      </c>
      <c r="U127" s="11">
        <v>2</v>
      </c>
      <c r="V127" s="11" t="s">
        <v>111</v>
      </c>
      <c r="W127" s="944" t="s">
        <v>115</v>
      </c>
      <c r="X127" s="945"/>
      <c r="Y127" s="11" t="s">
        <v>201</v>
      </c>
      <c r="Z127" s="11" t="s">
        <v>116</v>
      </c>
      <c r="AA127" s="11" t="s">
        <v>200</v>
      </c>
      <c r="AB127" s="22" t="s">
        <v>117</v>
      </c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</row>
    <row r="128" spans="2:40" x14ac:dyDescent="0.25">
      <c r="B128" s="12" t="s">
        <v>82</v>
      </c>
      <c r="C128" s="13" t="s">
        <v>127</v>
      </c>
      <c r="D128" s="13" t="s">
        <v>83</v>
      </c>
      <c r="E128" s="732" t="s">
        <v>120</v>
      </c>
      <c r="F128" s="733"/>
      <c r="G128" s="171">
        <f>IF(G134=0,0,G129/G134)</f>
        <v>0</v>
      </c>
      <c r="H128" s="172">
        <f>IF(H134=0,0,H129/H134)</f>
        <v>30.714285714285712</v>
      </c>
      <c r="K128" s="12" t="s">
        <v>82</v>
      </c>
      <c r="L128" s="13" t="s">
        <v>127</v>
      </c>
      <c r="M128" s="13" t="s">
        <v>83</v>
      </c>
      <c r="N128" s="732" t="s">
        <v>120</v>
      </c>
      <c r="O128" s="733"/>
      <c r="P128" s="171">
        <f>IF(P134=0,0,P129/P134)</f>
        <v>0</v>
      </c>
      <c r="Q128" s="172">
        <f>IF(Q134=0,0,Q129/Q134)</f>
        <v>0</v>
      </c>
      <c r="T128" s="12" t="s">
        <v>82</v>
      </c>
      <c r="U128" s="13" t="s">
        <v>127</v>
      </c>
      <c r="V128" s="13" t="s">
        <v>83</v>
      </c>
      <c r="W128" s="13" t="s">
        <v>120</v>
      </c>
      <c r="X128" s="101"/>
      <c r="Y128" s="171">
        <f t="shared" ref="Y128" si="50">IF(Y134=0,0,Y129/Y134)</f>
        <v>0</v>
      </c>
      <c r="Z128" s="171">
        <f t="shared" ref="Z128" si="51">IF(Z134=0,0,Z129/Z134)</f>
        <v>0</v>
      </c>
      <c r="AA128" s="171">
        <f t="shared" ref="AA128" si="52">IF(AA134=0,0,AA129/AA134)</f>
        <v>0</v>
      </c>
      <c r="AB128" s="172">
        <f t="shared" ref="AB128" si="53">IF(AB134=0,0,AB129/AB134)</f>
        <v>30.714285714285712</v>
      </c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</row>
    <row r="129" spans="1:40" x14ac:dyDescent="0.25">
      <c r="B129" s="12" t="s">
        <v>84</v>
      </c>
      <c r="C129" s="13" t="s">
        <v>85</v>
      </c>
      <c r="D129" s="13" t="s">
        <v>10</v>
      </c>
      <c r="E129" s="732" t="s">
        <v>121</v>
      </c>
      <c r="F129" s="733"/>
      <c r="G129" s="448">
        <f>F111</f>
        <v>0</v>
      </c>
      <c r="H129" s="449">
        <f>H111</f>
        <v>0.43</v>
      </c>
      <c r="K129" s="12" t="s">
        <v>84</v>
      </c>
      <c r="L129" s="13" t="s">
        <v>85</v>
      </c>
      <c r="M129" s="13" t="s">
        <v>10</v>
      </c>
      <c r="N129" s="732" t="s">
        <v>121</v>
      </c>
      <c r="O129" s="733"/>
      <c r="P129" s="448">
        <f>O111</f>
        <v>0</v>
      </c>
      <c r="Q129" s="449">
        <f>Q111</f>
        <v>0</v>
      </c>
      <c r="T129" s="12" t="s">
        <v>84</v>
      </c>
      <c r="U129" s="13" t="s">
        <v>85</v>
      </c>
      <c r="V129" s="13" t="s">
        <v>10</v>
      </c>
      <c r="W129" s="13" t="s">
        <v>121</v>
      </c>
      <c r="X129" s="101"/>
      <c r="Y129" s="14">
        <f>W111</f>
        <v>0</v>
      </c>
      <c r="Z129" s="14">
        <f>X111</f>
        <v>0</v>
      </c>
      <c r="AA129" s="14">
        <f>Z111</f>
        <v>0</v>
      </c>
      <c r="AB129" s="15">
        <f>AA111</f>
        <v>0.43</v>
      </c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</row>
    <row r="130" spans="1:40" x14ac:dyDescent="0.25">
      <c r="B130" s="12" t="s">
        <v>86</v>
      </c>
      <c r="C130" s="13" t="s">
        <v>87</v>
      </c>
      <c r="D130" s="13" t="s">
        <v>10</v>
      </c>
      <c r="E130" s="732"/>
      <c r="F130" s="733"/>
      <c r="G130" s="448">
        <f>IF(YEAR(Postup!$H$25)&gt;$D$74,Provozování!O85,IF(AND(DAY(Postup!$H$25)=31,MONTH(Postup!$H$25)=12,YEAR(Postup!$H$25)=$D$74),Provozování!O85,IF(YEAR(Postup!$H$25)=$D$74,Provozování!$BL85,0)))</f>
        <v>0</v>
      </c>
      <c r="H130" s="449">
        <f ca="1">IF(YEAR(Postup!$H$25)&gt;$D$74,Provozování!P85,IF(AND(DAY(Postup!$H$25)=31,MONTH(Postup!$H$25)=12,YEAR(Postup!$H$25)=$D$74),Provozování!P85,IF(YEAR(Postup!$H$25)=$D$74,Provozování!$BM85,0)))</f>
        <v>7.758654207907981E-3</v>
      </c>
      <c r="K130" s="12" t="s">
        <v>86</v>
      </c>
      <c r="L130" s="13" t="s">
        <v>87</v>
      </c>
      <c r="M130" s="13" t="s">
        <v>10</v>
      </c>
      <c r="N130" s="732"/>
      <c r="O130" s="733"/>
      <c r="P130" s="448">
        <f>IF(Provozování!$Q$16="Neaktivní",0,Provozování!Q85)</f>
        <v>0</v>
      </c>
      <c r="Q130" s="449">
        <f>IF(Provozování!$Q$16="Neaktivní",0,Provozování!R85)</f>
        <v>0</v>
      </c>
      <c r="T130" s="12" t="s">
        <v>86</v>
      </c>
      <c r="U130" s="13" t="s">
        <v>87</v>
      </c>
      <c r="V130" s="13" t="s">
        <v>10</v>
      </c>
      <c r="W130" s="13"/>
      <c r="X130" s="101"/>
      <c r="Y130" s="595">
        <v>0</v>
      </c>
      <c r="Z130" s="14">
        <f>IF(Provozování!$Q$16="Neaktivní",G130,G130*Výpočty!$I$58+P130)</f>
        <v>0</v>
      </c>
      <c r="AA130" s="595">
        <v>0</v>
      </c>
      <c r="AB130" s="15">
        <f ca="1">IF(Provozování!$Q$16="Neaktivní",H130,H130*Výpočty!$I$58+Q130)</f>
        <v>7.758654207907981E-3</v>
      </c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</row>
    <row r="131" spans="1:40" x14ac:dyDescent="0.25">
      <c r="B131" s="12" t="s">
        <v>88</v>
      </c>
      <c r="C131" s="21" t="s">
        <v>89</v>
      </c>
      <c r="D131" s="13" t="s">
        <v>90</v>
      </c>
      <c r="E131" s="732" t="s">
        <v>123</v>
      </c>
      <c r="F131" s="733"/>
      <c r="G131" s="171">
        <f>IF(G129=0,0,G130/G129*100)</f>
        <v>0</v>
      </c>
      <c r="H131" s="172">
        <f ca="1">IF(H129=0,0,H130/H129*100)</f>
        <v>1.8043381878855771</v>
      </c>
      <c r="K131" s="12" t="s">
        <v>88</v>
      </c>
      <c r="L131" s="21" t="s">
        <v>89</v>
      </c>
      <c r="M131" s="13" t="s">
        <v>90</v>
      </c>
      <c r="N131" s="732" t="s">
        <v>123</v>
      </c>
      <c r="O131" s="733"/>
      <c r="P131" s="171">
        <f>IF(P129=0,0,P130/P129*100)</f>
        <v>0</v>
      </c>
      <c r="Q131" s="172">
        <f>IF(Q129=0,0,Q130/Q129*100)</f>
        <v>0</v>
      </c>
      <c r="T131" s="12" t="s">
        <v>88</v>
      </c>
      <c r="U131" s="21" t="s">
        <v>89</v>
      </c>
      <c r="V131" s="13" t="s">
        <v>90</v>
      </c>
      <c r="W131" s="13" t="s">
        <v>123</v>
      </c>
      <c r="X131" s="101"/>
      <c r="Y131" s="171">
        <f t="shared" ref="Y131" si="54">IF(Y129=0,0,Y130/Y129*100)</f>
        <v>0</v>
      </c>
      <c r="Z131" s="171">
        <f t="shared" ref="Z131" si="55">IF(Z129=0,0,Z130/Z129*100)</f>
        <v>0</v>
      </c>
      <c r="AA131" s="171">
        <f t="shared" ref="AA131" si="56">IF(AA129=0,0,AA130/AA129*100)</f>
        <v>0</v>
      </c>
      <c r="AB131" s="172">
        <f t="shared" ref="AB131" ca="1" si="57">IF(AB129=0,0,AB130/AB129*100)</f>
        <v>1.8043381878855771</v>
      </c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</row>
    <row r="132" spans="1:40" x14ac:dyDescent="0.25">
      <c r="B132" s="12" t="s">
        <v>91</v>
      </c>
      <c r="C132" s="21" t="s">
        <v>92</v>
      </c>
      <c r="D132" s="13" t="s">
        <v>10</v>
      </c>
      <c r="E132" s="732"/>
      <c r="F132" s="733"/>
      <c r="G132" s="411">
        <v>0</v>
      </c>
      <c r="H132" s="136">
        <v>0</v>
      </c>
      <c r="K132" s="12" t="s">
        <v>91</v>
      </c>
      <c r="L132" s="21" t="s">
        <v>92</v>
      </c>
      <c r="M132" s="13" t="s">
        <v>10</v>
      </c>
      <c r="N132" s="732"/>
      <c r="O132" s="733"/>
      <c r="P132" s="411">
        <v>0</v>
      </c>
      <c r="Q132" s="136">
        <v>0</v>
      </c>
      <c r="T132" s="12" t="s">
        <v>91</v>
      </c>
      <c r="U132" s="21" t="s">
        <v>92</v>
      </c>
      <c r="V132" s="13" t="s">
        <v>10</v>
      </c>
      <c r="W132" s="13"/>
      <c r="X132" s="101"/>
      <c r="Y132" s="445">
        <v>0</v>
      </c>
      <c r="Z132" s="445">
        <v>0</v>
      </c>
      <c r="AA132" s="445">
        <v>0</v>
      </c>
      <c r="AB132" s="442">
        <v>0</v>
      </c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</row>
    <row r="133" spans="1:40" x14ac:dyDescent="0.25">
      <c r="B133" s="12" t="s">
        <v>93</v>
      </c>
      <c r="C133" s="13" t="s">
        <v>94</v>
      </c>
      <c r="D133" s="13" t="s">
        <v>10</v>
      </c>
      <c r="E133" s="732" t="s">
        <v>122</v>
      </c>
      <c r="F133" s="733"/>
      <c r="G133" s="448">
        <f>G129+G130</f>
        <v>0</v>
      </c>
      <c r="H133" s="449">
        <f ca="1">H129+H130</f>
        <v>0.43775865420790799</v>
      </c>
      <c r="K133" s="12" t="s">
        <v>93</v>
      </c>
      <c r="L133" s="13" t="s">
        <v>94</v>
      </c>
      <c r="M133" s="13" t="s">
        <v>10</v>
      </c>
      <c r="N133" s="732" t="s">
        <v>122</v>
      </c>
      <c r="O133" s="733"/>
      <c r="P133" s="448">
        <f>P129+P130</f>
        <v>0</v>
      </c>
      <c r="Q133" s="449">
        <f>Q129+Q130</f>
        <v>0</v>
      </c>
      <c r="T133" s="12" t="s">
        <v>93</v>
      </c>
      <c r="U133" s="13" t="s">
        <v>94</v>
      </c>
      <c r="V133" s="13" t="s">
        <v>10</v>
      </c>
      <c r="W133" s="13" t="s">
        <v>122</v>
      </c>
      <c r="X133" s="101"/>
      <c r="Y133" s="448">
        <f t="shared" ref="Y133:AB133" si="58">Y129+Y130</f>
        <v>0</v>
      </c>
      <c r="Z133" s="448">
        <f t="shared" si="58"/>
        <v>0</v>
      </c>
      <c r="AA133" s="448">
        <f t="shared" si="58"/>
        <v>0</v>
      </c>
      <c r="AB133" s="449">
        <f t="shared" ca="1" si="58"/>
        <v>0.43775865420790799</v>
      </c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</row>
    <row r="134" spans="1:40" x14ac:dyDescent="0.25">
      <c r="B134" s="12" t="s">
        <v>95</v>
      </c>
      <c r="C134" s="13" t="s">
        <v>96</v>
      </c>
      <c r="D134" s="13" t="s">
        <v>66</v>
      </c>
      <c r="E134" s="732" t="s">
        <v>124</v>
      </c>
      <c r="F134" s="733"/>
      <c r="G134" s="448">
        <f>F115</f>
        <v>0</v>
      </c>
      <c r="H134" s="449">
        <f>H117+H119</f>
        <v>1.4E-2</v>
      </c>
      <c r="K134" s="12" t="s">
        <v>95</v>
      </c>
      <c r="L134" s="13" t="s">
        <v>96</v>
      </c>
      <c r="M134" s="13" t="s">
        <v>66</v>
      </c>
      <c r="N134" s="732" t="s">
        <v>124</v>
      </c>
      <c r="O134" s="733"/>
      <c r="P134" s="448">
        <f>O115</f>
        <v>0</v>
      </c>
      <c r="Q134" s="449">
        <f>Q117+Q119</f>
        <v>0</v>
      </c>
      <c r="T134" s="12" t="s">
        <v>95</v>
      </c>
      <c r="U134" s="13" t="s">
        <v>96</v>
      </c>
      <c r="V134" s="13" t="s">
        <v>66</v>
      </c>
      <c r="W134" s="13" t="s">
        <v>124</v>
      </c>
      <c r="X134" s="101"/>
      <c r="Y134" s="14">
        <f>W115</f>
        <v>0</v>
      </c>
      <c r="Z134" s="14">
        <f>X115</f>
        <v>0</v>
      </c>
      <c r="AA134" s="14">
        <f>Z117+Z119</f>
        <v>0</v>
      </c>
      <c r="AB134" s="15">
        <f>AA117+AA119</f>
        <v>1.4E-2</v>
      </c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</row>
    <row r="135" spans="1:40" x14ac:dyDescent="0.25">
      <c r="B135" s="12" t="s">
        <v>97</v>
      </c>
      <c r="C135" s="13" t="s">
        <v>98</v>
      </c>
      <c r="D135" s="13" t="s">
        <v>83</v>
      </c>
      <c r="E135" s="732" t="s">
        <v>125</v>
      </c>
      <c r="F135" s="733"/>
      <c r="G135" s="171">
        <f>IF(G134=0,0,G133/G134)</f>
        <v>0</v>
      </c>
      <c r="H135" s="172">
        <f ca="1">IF(H134=0,0,H133/H134)</f>
        <v>31.268475300564855</v>
      </c>
      <c r="K135" s="12" t="s">
        <v>97</v>
      </c>
      <c r="L135" s="13" t="s">
        <v>98</v>
      </c>
      <c r="M135" s="13" t="s">
        <v>83</v>
      </c>
      <c r="N135" s="732" t="s">
        <v>125</v>
      </c>
      <c r="O135" s="733"/>
      <c r="P135" s="171">
        <f>IF(P134=0,0,P133/P134)</f>
        <v>0</v>
      </c>
      <c r="Q135" s="172">
        <f>IF(Q134=0,0,Q133/Q134)</f>
        <v>0</v>
      </c>
      <c r="T135" s="12" t="s">
        <v>97</v>
      </c>
      <c r="U135" s="13" t="s">
        <v>98</v>
      </c>
      <c r="V135" s="13" t="s">
        <v>83</v>
      </c>
      <c r="W135" s="13" t="s">
        <v>125</v>
      </c>
      <c r="X135" s="101"/>
      <c r="Y135" s="171">
        <f t="shared" ref="Y135" si="59">IF(Y134=0,0,Y133/Y134)</f>
        <v>0</v>
      </c>
      <c r="Z135" s="171">
        <f t="shared" ref="Z135" si="60">IF(Z134=0,0,Z133/Z134)</f>
        <v>0</v>
      </c>
      <c r="AA135" s="171">
        <f t="shared" ref="AA135" si="61">IF(AA134=0,0,AA133/AA134)</f>
        <v>0</v>
      </c>
      <c r="AB135" s="172">
        <f t="shared" ref="AB135" ca="1" si="62">IF(AB134=0,0,AB133/AB134)</f>
        <v>31.268475300564855</v>
      </c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</row>
    <row r="136" spans="1:40" x14ac:dyDescent="0.25">
      <c r="B136" s="12" t="s">
        <v>99</v>
      </c>
      <c r="C136" s="13" t="str">
        <f>CONCATENATE("CENA pro vodné, stočné + ",Provozování!O93*100,"% DPH")</f>
        <v>CENA pro vodné, stočné + 15% DPH</v>
      </c>
      <c r="D136" s="13" t="s">
        <v>83</v>
      </c>
      <c r="E136" s="732" t="s">
        <v>126</v>
      </c>
      <c r="F136" s="733"/>
      <c r="G136" s="171">
        <f>G135*(1+Provozování!O$93)</f>
        <v>0</v>
      </c>
      <c r="H136" s="172">
        <f ca="1">H135*(1+Provozování!P$93)</f>
        <v>35.958746595649579</v>
      </c>
      <c r="K136" s="12" t="s">
        <v>99</v>
      </c>
      <c r="L136" s="13" t="str">
        <f>C136</f>
        <v>CENA pro vodné, stočné + 15% DPH</v>
      </c>
      <c r="M136" s="13" t="s">
        <v>83</v>
      </c>
      <c r="N136" s="732" t="s">
        <v>126</v>
      </c>
      <c r="O136" s="733"/>
      <c r="P136" s="171">
        <f>P135*(1+Provozování!O$93)</f>
        <v>0</v>
      </c>
      <c r="Q136" s="172">
        <f>Q135*(1+Provozování!P$93)</f>
        <v>0</v>
      </c>
      <c r="T136" s="12" t="s">
        <v>99</v>
      </c>
      <c r="U136" s="13" t="str">
        <f>C136</f>
        <v>CENA pro vodné, stočné + 15% DPH</v>
      </c>
      <c r="V136" s="13" t="s">
        <v>83</v>
      </c>
      <c r="W136" s="13" t="s">
        <v>126</v>
      </c>
      <c r="X136" s="101"/>
      <c r="Y136" s="171">
        <f>Y135*(1+Provozování!O$93)</f>
        <v>0</v>
      </c>
      <c r="Z136" s="171">
        <f>Z135*(1+Provozování!O$93)</f>
        <v>0</v>
      </c>
      <c r="AA136" s="171">
        <f>AA135*(1+Provozování!P$93)</f>
        <v>0</v>
      </c>
      <c r="AB136" s="172">
        <f ca="1">AB135*(1+Provozování!P$93)</f>
        <v>35.958746595649579</v>
      </c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</row>
    <row r="137" spans="1:40" x14ac:dyDescent="0.25">
      <c r="T137" s="916" t="s">
        <v>203</v>
      </c>
      <c r="U137" s="916" t="s">
        <v>202</v>
      </c>
      <c r="V137" s="744" t="s">
        <v>10</v>
      </c>
      <c r="W137" s="919" t="s">
        <v>204</v>
      </c>
      <c r="X137" s="732"/>
      <c r="Y137" s="102" t="s">
        <v>206</v>
      </c>
      <c r="Z137" s="105" t="s">
        <v>207</v>
      </c>
      <c r="AA137" s="102" t="s">
        <v>206</v>
      </c>
      <c r="AB137" s="105" t="s">
        <v>207</v>
      </c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</row>
    <row r="138" spans="1:40" x14ac:dyDescent="0.25">
      <c r="B138" s="500" t="s">
        <v>354</v>
      </c>
      <c r="T138" s="917"/>
      <c r="U138" s="917"/>
      <c r="V138" s="745"/>
      <c r="W138" s="920">
        <v>0</v>
      </c>
      <c r="X138" s="921"/>
      <c r="Y138" s="103">
        <f>W74</f>
        <v>2021</v>
      </c>
      <c r="Z138" s="103">
        <f>W74</f>
        <v>2021</v>
      </c>
      <c r="AA138" s="103">
        <f>W74</f>
        <v>2021</v>
      </c>
      <c r="AB138" s="103">
        <f>W74</f>
        <v>2021</v>
      </c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</row>
    <row r="139" spans="1:40" x14ac:dyDescent="0.25">
      <c r="B139" s="500" t="s">
        <v>355</v>
      </c>
      <c r="T139" s="917"/>
      <c r="U139" s="917"/>
      <c r="V139" s="745"/>
      <c r="W139" s="919" t="s">
        <v>205</v>
      </c>
      <c r="X139" s="732"/>
      <c r="Y139" s="104" t="s">
        <v>208</v>
      </c>
      <c r="Z139" s="104" t="s">
        <v>208</v>
      </c>
      <c r="AA139" s="104" t="s">
        <v>209</v>
      </c>
      <c r="AB139" s="104" t="s">
        <v>209</v>
      </c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</row>
    <row r="140" spans="1:40" x14ac:dyDescent="0.25">
      <c r="T140" s="918"/>
      <c r="U140" s="918"/>
      <c r="V140" s="746"/>
      <c r="W140" s="922">
        <v>0</v>
      </c>
      <c r="X140" s="920"/>
      <c r="Y140" s="597">
        <v>0</v>
      </c>
      <c r="Z140" s="597">
        <v>0</v>
      </c>
      <c r="AA140" s="597">
        <v>0</v>
      </c>
      <c r="AB140" s="597">
        <v>0</v>
      </c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</row>
    <row r="141" spans="1:40" x14ac:dyDescent="0.25">
      <c r="A141" s="342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</row>
    <row r="142" spans="1:40" x14ac:dyDescent="0.25">
      <c r="B142" s="726" t="s">
        <v>393</v>
      </c>
      <c r="C142" s="727"/>
      <c r="D142" s="727"/>
      <c r="E142" s="727"/>
      <c r="F142" s="727"/>
      <c r="G142" s="727"/>
      <c r="H142" s="727"/>
      <c r="K142" s="726" t="s">
        <v>394</v>
      </c>
      <c r="L142" s="727"/>
      <c r="M142" s="727"/>
      <c r="N142" s="727"/>
      <c r="O142" s="727"/>
      <c r="P142" s="727"/>
      <c r="Q142" s="727"/>
      <c r="T142" s="726" t="s">
        <v>210</v>
      </c>
      <c r="U142" s="727"/>
      <c r="V142" s="727"/>
      <c r="W142" s="727"/>
      <c r="X142" s="727"/>
      <c r="Y142" s="727"/>
      <c r="Z142" s="727"/>
      <c r="AA142" s="727"/>
      <c r="AB142" s="727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</row>
    <row r="143" spans="1:40" x14ac:dyDescent="0.25">
      <c r="C143" s="362"/>
      <c r="E143" s="25"/>
      <c r="F143" s="25"/>
      <c r="L143" s="25"/>
      <c r="N143" s="25"/>
      <c r="T143" s="950" t="s">
        <v>395</v>
      </c>
      <c r="U143" s="950"/>
      <c r="V143" s="950"/>
      <c r="W143" s="950"/>
      <c r="X143" s="950"/>
      <c r="Y143" s="950"/>
      <c r="Z143" s="950"/>
      <c r="AA143" s="950"/>
      <c r="AB143" s="950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</row>
    <row r="144" spans="1:40" x14ac:dyDescent="0.25">
      <c r="C144" s="362" t="s">
        <v>119</v>
      </c>
      <c r="D144" s="364">
        <f>D74+1</f>
        <v>2022</v>
      </c>
      <c r="E144" s="25"/>
      <c r="F144" s="362" t="s">
        <v>278</v>
      </c>
      <c r="G144" s="365">
        <f>Výpočty!J$56</f>
        <v>44562</v>
      </c>
      <c r="H144" s="365" t="str">
        <f>IF(Výpočty!J$57="-"," ",CONCATENATE("- ",DAY(Výpočty!J$57),".",MONTH(Výpočty!J$57),".",D144))</f>
        <v>- 31.12.2022</v>
      </c>
      <c r="L144" s="362" t="s">
        <v>119</v>
      </c>
      <c r="M144" s="364">
        <f>D144</f>
        <v>2022</v>
      </c>
      <c r="O144" s="362" t="s">
        <v>278</v>
      </c>
      <c r="P144" s="475" t="str">
        <f>Výpočty!J$52</f>
        <v>-</v>
      </c>
      <c r="Q144" s="475" t="str">
        <f>IF(P144="-"," ",H144)</f>
        <v xml:space="preserve"> </v>
      </c>
      <c r="T144" s="441"/>
      <c r="U144" s="441"/>
      <c r="V144" s="451" t="s">
        <v>195</v>
      </c>
      <c r="W144" s="364">
        <f>D144</f>
        <v>2022</v>
      </c>
      <c r="Z144" s="362" t="s">
        <v>278</v>
      </c>
      <c r="AA144" s="365">
        <f>G144</f>
        <v>44562</v>
      </c>
      <c r="AB144" s="365" t="str">
        <f>H144</f>
        <v>- 31.12.2022</v>
      </c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</row>
    <row r="145" spans="2:40" x14ac:dyDescent="0.25">
      <c r="B145" s="13" t="s">
        <v>74</v>
      </c>
      <c r="C145" s="13" t="s">
        <v>105</v>
      </c>
      <c r="D145" s="941" t="str">
        <f t="shared" ref="D145:D150" si="63">D75</f>
        <v/>
      </c>
      <c r="E145" s="942"/>
      <c r="F145" s="942"/>
      <c r="G145" s="942"/>
      <c r="H145" s="943"/>
      <c r="K145" s="13" t="s">
        <v>74</v>
      </c>
      <c r="L145" s="13" t="s">
        <v>105</v>
      </c>
      <c r="M145" s="949" t="str">
        <f t="shared" ref="M145:M147" si="64">D145</f>
        <v/>
      </c>
      <c r="N145" s="738"/>
      <c r="O145" s="738"/>
      <c r="P145" s="738"/>
      <c r="Q145" s="738"/>
      <c r="T145" s="13" t="s">
        <v>74</v>
      </c>
      <c r="U145" s="13" t="s">
        <v>105</v>
      </c>
      <c r="V145" s="949" t="str">
        <f t="shared" ref="V145:V147" si="65">D145</f>
        <v/>
      </c>
      <c r="W145" s="738"/>
      <c r="X145" s="738"/>
      <c r="Y145" s="738"/>
      <c r="Z145" s="738"/>
      <c r="AA145" s="738"/>
      <c r="AB145" s="738"/>
      <c r="AC145" s="183"/>
      <c r="AD145" s="183"/>
      <c r="AK145" s="183"/>
      <c r="AL145" s="183"/>
      <c r="AM145" s="183"/>
      <c r="AN145" s="183"/>
    </row>
    <row r="146" spans="2:40" x14ac:dyDescent="0.25">
      <c r="B146" s="13" t="s">
        <v>100</v>
      </c>
      <c r="C146" s="13" t="s">
        <v>106</v>
      </c>
      <c r="D146" s="941" t="str">
        <f t="shared" si="63"/>
        <v/>
      </c>
      <c r="E146" s="942"/>
      <c r="F146" s="942"/>
      <c r="G146" s="942"/>
      <c r="H146" s="943"/>
      <c r="K146" s="13" t="s">
        <v>100</v>
      </c>
      <c r="L146" s="13" t="s">
        <v>106</v>
      </c>
      <c r="M146" s="941" t="str">
        <f t="shared" si="64"/>
        <v/>
      </c>
      <c r="N146" s="942"/>
      <c r="O146" s="942"/>
      <c r="P146" s="942"/>
      <c r="Q146" s="943"/>
      <c r="T146" s="13" t="s">
        <v>100</v>
      </c>
      <c r="U146" s="13" t="s">
        <v>106</v>
      </c>
      <c r="V146" s="941" t="str">
        <f t="shared" si="65"/>
        <v/>
      </c>
      <c r="W146" s="942"/>
      <c r="X146" s="942"/>
      <c r="Y146" s="942"/>
      <c r="Z146" s="942"/>
      <c r="AA146" s="942"/>
      <c r="AB146" s="943"/>
      <c r="AC146" s="183"/>
      <c r="AD146" s="183"/>
      <c r="AK146" s="183"/>
      <c r="AL146" s="183"/>
      <c r="AM146" s="183"/>
      <c r="AN146" s="183"/>
    </row>
    <row r="147" spans="2:40" x14ac:dyDescent="0.25">
      <c r="B147" s="13" t="s">
        <v>101</v>
      </c>
      <c r="C147" s="13" t="s">
        <v>107</v>
      </c>
      <c r="D147" s="941" t="str">
        <f t="shared" si="63"/>
        <v xml:space="preserve">Město Kraslice, IČ </v>
      </c>
      <c r="E147" s="942"/>
      <c r="F147" s="942"/>
      <c r="G147" s="942"/>
      <c r="H147" s="943"/>
      <c r="K147" s="13" t="s">
        <v>101</v>
      </c>
      <c r="L147" s="13" t="s">
        <v>107</v>
      </c>
      <c r="M147" s="941" t="str">
        <f t="shared" si="64"/>
        <v xml:space="preserve">Město Kraslice, IČ </v>
      </c>
      <c r="N147" s="942"/>
      <c r="O147" s="942"/>
      <c r="P147" s="942"/>
      <c r="Q147" s="943"/>
      <c r="T147" s="13" t="s">
        <v>101</v>
      </c>
      <c r="U147" s="13" t="s">
        <v>107</v>
      </c>
      <c r="V147" s="941" t="str">
        <f t="shared" si="65"/>
        <v xml:space="preserve">Město Kraslice, IČ </v>
      </c>
      <c r="W147" s="942"/>
      <c r="X147" s="942"/>
      <c r="Y147" s="942"/>
      <c r="Z147" s="942"/>
      <c r="AA147" s="942"/>
      <c r="AB147" s="943"/>
      <c r="AC147" s="183"/>
      <c r="AD147" s="183"/>
      <c r="AK147" s="183"/>
      <c r="AL147" s="183"/>
      <c r="AM147" s="183"/>
      <c r="AN147" s="183"/>
    </row>
    <row r="148" spans="2:40" x14ac:dyDescent="0.25">
      <c r="B148" s="13" t="s">
        <v>102</v>
      </c>
      <c r="C148" s="13" t="s">
        <v>109</v>
      </c>
      <c r="D148" s="946" t="str">
        <f t="shared" si="63"/>
        <v>[vyplnit]</v>
      </c>
      <c r="E148" s="947"/>
      <c r="F148" s="947"/>
      <c r="G148" s="947"/>
      <c r="H148" s="948"/>
      <c r="K148" s="13" t="s">
        <v>102</v>
      </c>
      <c r="L148" s="13" t="s">
        <v>109</v>
      </c>
      <c r="M148" s="926" t="str">
        <f>IF($D148="[vyplnit]"," ",$D148)</f>
        <v xml:space="preserve"> </v>
      </c>
      <c r="N148" s="927"/>
      <c r="O148" s="927"/>
      <c r="P148" s="927"/>
      <c r="Q148" s="928"/>
      <c r="T148" s="13" t="s">
        <v>102</v>
      </c>
      <c r="U148" s="13" t="s">
        <v>109</v>
      </c>
      <c r="V148" s="933" t="str">
        <f>IF($D148="[vyplnit]"," ",$D148)</f>
        <v xml:space="preserve"> </v>
      </c>
      <c r="W148" s="933"/>
      <c r="X148" s="933"/>
      <c r="Y148" s="933"/>
      <c r="Z148" s="933"/>
      <c r="AA148" s="933"/>
      <c r="AB148" s="933"/>
      <c r="AC148" s="183"/>
      <c r="AD148" s="183"/>
      <c r="AK148" s="183"/>
      <c r="AL148" s="183"/>
      <c r="AM148" s="183"/>
      <c r="AN148" s="183"/>
    </row>
    <row r="149" spans="2:40" x14ac:dyDescent="0.25">
      <c r="B149" s="13" t="s">
        <v>103</v>
      </c>
      <c r="C149" s="13" t="s">
        <v>108</v>
      </c>
      <c r="D149" s="946" t="str">
        <f t="shared" si="63"/>
        <v>[vyplnit]</v>
      </c>
      <c r="E149" s="947"/>
      <c r="F149" s="947"/>
      <c r="G149" s="947"/>
      <c r="H149" s="948"/>
      <c r="K149" s="13" t="s">
        <v>103</v>
      </c>
      <c r="L149" s="13" t="s">
        <v>108</v>
      </c>
      <c r="M149" s="926" t="str">
        <f t="shared" ref="M149:M150" si="66">IF($D149="[vyplnit]"," ",$D149)</f>
        <v xml:space="preserve"> </v>
      </c>
      <c r="N149" s="927"/>
      <c r="O149" s="927"/>
      <c r="P149" s="927"/>
      <c r="Q149" s="928"/>
      <c r="T149" s="13" t="s">
        <v>103</v>
      </c>
      <c r="U149" s="13" t="s">
        <v>108</v>
      </c>
      <c r="V149" s="933" t="str">
        <f t="shared" ref="V149:V150" si="67">IF($D149="[vyplnit]"," ",$D149)</f>
        <v xml:space="preserve"> </v>
      </c>
      <c r="W149" s="933"/>
      <c r="X149" s="933"/>
      <c r="Y149" s="933"/>
      <c r="Z149" s="933"/>
      <c r="AA149" s="933"/>
      <c r="AB149" s="933"/>
      <c r="AC149" s="183"/>
      <c r="AD149" s="183"/>
      <c r="AK149" s="183"/>
      <c r="AL149" s="183"/>
      <c r="AM149" s="183"/>
      <c r="AN149" s="183"/>
    </row>
    <row r="150" spans="2:40" x14ac:dyDescent="0.25">
      <c r="B150" s="13" t="s">
        <v>104</v>
      </c>
      <c r="C150" s="13" t="s">
        <v>110</v>
      </c>
      <c r="D150" s="946" t="str">
        <f t="shared" si="63"/>
        <v>[vyplnit]</v>
      </c>
      <c r="E150" s="947"/>
      <c r="F150" s="947"/>
      <c r="G150" s="947"/>
      <c r="H150" s="948"/>
      <c r="K150" s="13" t="s">
        <v>104</v>
      </c>
      <c r="L150" s="13" t="s">
        <v>110</v>
      </c>
      <c r="M150" s="926" t="str">
        <f t="shared" si="66"/>
        <v xml:space="preserve"> </v>
      </c>
      <c r="N150" s="927"/>
      <c r="O150" s="927"/>
      <c r="P150" s="927"/>
      <c r="Q150" s="928"/>
      <c r="T150" s="13" t="s">
        <v>104</v>
      </c>
      <c r="U150" s="13" t="s">
        <v>110</v>
      </c>
      <c r="V150" s="933" t="str">
        <f t="shared" si="67"/>
        <v xml:space="preserve"> </v>
      </c>
      <c r="W150" s="933"/>
      <c r="X150" s="933"/>
      <c r="Y150" s="933"/>
      <c r="Z150" s="933"/>
      <c r="AA150" s="933"/>
      <c r="AB150" s="933"/>
      <c r="AC150" s="183"/>
      <c r="AD150" s="183"/>
      <c r="AK150" s="183"/>
      <c r="AL150" s="183"/>
      <c r="AM150" s="183"/>
      <c r="AN150" s="183"/>
    </row>
    <row r="151" spans="2:40" x14ac:dyDescent="0.25">
      <c r="AC151" s="183"/>
      <c r="AK151" s="183"/>
      <c r="AL151" s="183"/>
      <c r="AM151" s="183"/>
      <c r="AN151" s="183"/>
    </row>
    <row r="152" spans="2:40" x14ac:dyDescent="0.25">
      <c r="B152" s="932" t="s">
        <v>5</v>
      </c>
      <c r="C152" s="721" t="s">
        <v>0</v>
      </c>
      <c r="D152" s="722"/>
      <c r="E152" s="722"/>
      <c r="F152" s="722"/>
      <c r="G152" s="722"/>
      <c r="H152" s="725"/>
      <c r="K152" s="932" t="s">
        <v>5</v>
      </c>
      <c r="L152" s="721" t="s">
        <v>0</v>
      </c>
      <c r="M152" s="722"/>
      <c r="N152" s="722"/>
      <c r="O152" s="722"/>
      <c r="P152" s="722"/>
      <c r="Q152" s="725"/>
      <c r="T152" s="932" t="s">
        <v>5</v>
      </c>
      <c r="U152" s="721" t="s">
        <v>0</v>
      </c>
      <c r="V152" s="722"/>
      <c r="W152" s="722"/>
      <c r="X152" s="722"/>
      <c r="Y152" s="722"/>
      <c r="Z152" s="722"/>
      <c r="AA152" s="722"/>
      <c r="AB152" s="725"/>
      <c r="AC152" s="183"/>
      <c r="AK152" s="183"/>
      <c r="AL152" s="183"/>
      <c r="AM152" s="183"/>
      <c r="AN152" s="183"/>
    </row>
    <row r="153" spans="2:40" x14ac:dyDescent="0.25">
      <c r="B153" s="930"/>
      <c r="C153" s="932" t="s">
        <v>1</v>
      </c>
      <c r="D153" s="929" t="s">
        <v>173</v>
      </c>
      <c r="E153" s="721" t="s">
        <v>3</v>
      </c>
      <c r="F153" s="722"/>
      <c r="G153" s="721" t="s">
        <v>4</v>
      </c>
      <c r="H153" s="725"/>
      <c r="K153" s="930"/>
      <c r="L153" s="932" t="s">
        <v>1</v>
      </c>
      <c r="M153" s="929" t="s">
        <v>173</v>
      </c>
      <c r="N153" s="721" t="s">
        <v>3</v>
      </c>
      <c r="O153" s="722"/>
      <c r="P153" s="721" t="s">
        <v>4</v>
      </c>
      <c r="Q153" s="725"/>
      <c r="T153" s="930"/>
      <c r="U153" s="932" t="s">
        <v>1</v>
      </c>
      <c r="V153" s="929" t="s">
        <v>173</v>
      </c>
      <c r="W153" s="721" t="s">
        <v>3</v>
      </c>
      <c r="X153" s="722"/>
      <c r="Y153" s="722"/>
      <c r="Z153" s="721" t="s">
        <v>4</v>
      </c>
      <c r="AA153" s="722"/>
      <c r="AB153" s="725"/>
      <c r="AC153" s="183"/>
      <c r="AK153" s="183"/>
      <c r="AL153" s="183"/>
      <c r="AM153" s="183"/>
      <c r="AN153" s="183"/>
    </row>
    <row r="154" spans="2:40" x14ac:dyDescent="0.25">
      <c r="B154" s="930"/>
      <c r="C154" s="930"/>
      <c r="D154" s="930"/>
      <c r="E154" s="30">
        <f>D144-1</f>
        <v>2021</v>
      </c>
      <c r="F154" s="30">
        <f>D144</f>
        <v>2022</v>
      </c>
      <c r="G154" s="30">
        <f>D144-1</f>
        <v>2021</v>
      </c>
      <c r="H154" s="30">
        <f>D144</f>
        <v>2022</v>
      </c>
      <c r="K154" s="930"/>
      <c r="L154" s="930"/>
      <c r="M154" s="930"/>
      <c r="N154" s="30">
        <f>M144-1</f>
        <v>2021</v>
      </c>
      <c r="O154" s="30">
        <f>M144</f>
        <v>2022</v>
      </c>
      <c r="P154" s="30">
        <f>M144-1</f>
        <v>2021</v>
      </c>
      <c r="Q154" s="30">
        <f>M144</f>
        <v>2022</v>
      </c>
      <c r="T154" s="930"/>
      <c r="U154" s="930"/>
      <c r="V154" s="930"/>
      <c r="W154" s="30">
        <f>W144</f>
        <v>2022</v>
      </c>
      <c r="X154" s="30">
        <f>W144</f>
        <v>2022</v>
      </c>
      <c r="Y154" s="30">
        <f>W144</f>
        <v>2022</v>
      </c>
      <c r="Z154" s="30">
        <f>W144</f>
        <v>2022</v>
      </c>
      <c r="AA154" s="30">
        <f>W144</f>
        <v>2022</v>
      </c>
      <c r="AB154" s="30">
        <f>W144</f>
        <v>2022</v>
      </c>
      <c r="AC154" s="183"/>
      <c r="AK154" s="183"/>
      <c r="AL154" s="183"/>
      <c r="AM154" s="183"/>
      <c r="AN154" s="183"/>
    </row>
    <row r="155" spans="2:40" x14ac:dyDescent="0.25">
      <c r="B155" s="931"/>
      <c r="C155" s="931"/>
      <c r="D155" s="931"/>
      <c r="E155" s="7" t="s">
        <v>199</v>
      </c>
      <c r="F155" s="7" t="s">
        <v>114</v>
      </c>
      <c r="G155" s="7" t="s">
        <v>199</v>
      </c>
      <c r="H155" s="19" t="s">
        <v>114</v>
      </c>
      <c r="K155" s="931"/>
      <c r="L155" s="931"/>
      <c r="M155" s="931"/>
      <c r="N155" s="7" t="s">
        <v>199</v>
      </c>
      <c r="O155" s="7" t="s">
        <v>114</v>
      </c>
      <c r="P155" s="7" t="s">
        <v>199</v>
      </c>
      <c r="Q155" s="19" t="s">
        <v>114</v>
      </c>
      <c r="T155" s="931"/>
      <c r="U155" s="931"/>
      <c r="V155" s="931"/>
      <c r="W155" s="7" t="s">
        <v>198</v>
      </c>
      <c r="X155" s="7" t="s">
        <v>114</v>
      </c>
      <c r="Y155" s="7" t="s">
        <v>197</v>
      </c>
      <c r="Z155" s="7" t="s">
        <v>198</v>
      </c>
      <c r="AA155" s="7" t="s">
        <v>114</v>
      </c>
      <c r="AB155" s="19" t="s">
        <v>197</v>
      </c>
      <c r="AC155" s="183"/>
      <c r="AK155" s="183"/>
      <c r="AL155" s="183"/>
      <c r="AM155" s="183"/>
      <c r="AN155" s="183"/>
    </row>
    <row r="156" spans="2:40" x14ac:dyDescent="0.25">
      <c r="B156" s="11">
        <v>1</v>
      </c>
      <c r="C156" s="11">
        <v>2</v>
      </c>
      <c r="D156" s="11" t="s">
        <v>111</v>
      </c>
      <c r="E156" s="11">
        <v>3</v>
      </c>
      <c r="F156" s="11">
        <v>4</v>
      </c>
      <c r="G156" s="11">
        <v>6</v>
      </c>
      <c r="H156" s="22">
        <v>7</v>
      </c>
      <c r="K156" s="11">
        <v>1</v>
      </c>
      <c r="L156" s="11">
        <v>2</v>
      </c>
      <c r="M156" s="11" t="s">
        <v>111</v>
      </c>
      <c r="N156" s="11">
        <v>3</v>
      </c>
      <c r="O156" s="11">
        <v>4</v>
      </c>
      <c r="P156" s="11">
        <v>6</v>
      </c>
      <c r="Q156" s="22">
        <v>7</v>
      </c>
      <c r="T156" s="11">
        <v>1</v>
      </c>
      <c r="U156" s="11">
        <v>2</v>
      </c>
      <c r="V156" s="11" t="s">
        <v>111</v>
      </c>
      <c r="W156" s="11">
        <v>3</v>
      </c>
      <c r="X156" s="11">
        <v>4</v>
      </c>
      <c r="Y156" s="11">
        <v>5</v>
      </c>
      <c r="Z156" s="11">
        <v>6</v>
      </c>
      <c r="AA156" s="11">
        <v>7</v>
      </c>
      <c r="AB156" s="22">
        <v>8</v>
      </c>
      <c r="AC156" s="183"/>
      <c r="AK156" s="183"/>
      <c r="AL156" s="183"/>
      <c r="AM156" s="183"/>
      <c r="AN156" s="183"/>
    </row>
    <row r="157" spans="2:40" x14ac:dyDescent="0.25">
      <c r="B157" s="9" t="s">
        <v>8</v>
      </c>
      <c r="C157" s="10" t="s">
        <v>9</v>
      </c>
      <c r="D157" s="11" t="s">
        <v>10</v>
      </c>
      <c r="E157" s="46">
        <f>SUM(E158:E161)</f>
        <v>0</v>
      </c>
      <c r="F157" s="46">
        <f>SUM(F158:F161)</f>
        <v>0</v>
      </c>
      <c r="G157" s="46">
        <f>SUM(G158:G161)</f>
        <v>0</v>
      </c>
      <c r="H157" s="98">
        <f>SUM(H158:H161)</f>
        <v>0.28999999999999998</v>
      </c>
      <c r="K157" s="9" t="s">
        <v>8</v>
      </c>
      <c r="L157" s="10" t="s">
        <v>9</v>
      </c>
      <c r="M157" s="11" t="s">
        <v>10</v>
      </c>
      <c r="N157" s="46">
        <f>SUM(N158:N161)</f>
        <v>0</v>
      </c>
      <c r="O157" s="46">
        <f>SUM(O158:O161)</f>
        <v>0</v>
      </c>
      <c r="P157" s="46">
        <f>SUM(P158:P161)</f>
        <v>0</v>
      </c>
      <c r="Q157" s="98">
        <f>SUM(Q158:Q161)</f>
        <v>0</v>
      </c>
      <c r="T157" s="9" t="s">
        <v>8</v>
      </c>
      <c r="U157" s="10" t="s">
        <v>9</v>
      </c>
      <c r="V157" s="11" t="s">
        <v>10</v>
      </c>
      <c r="W157" s="98">
        <f t="shared" ref="W157:AB157" si="68">SUM(W158:W161)</f>
        <v>0</v>
      </c>
      <c r="X157" s="98">
        <f t="shared" si="68"/>
        <v>0</v>
      </c>
      <c r="Y157" s="98">
        <f t="shared" si="68"/>
        <v>0</v>
      </c>
      <c r="Z157" s="98">
        <f t="shared" si="68"/>
        <v>0</v>
      </c>
      <c r="AA157" s="98">
        <f t="shared" si="68"/>
        <v>0.28999999999999998</v>
      </c>
      <c r="AB157" s="98">
        <f t="shared" si="68"/>
        <v>-0.28999999999999998</v>
      </c>
      <c r="AC157" s="183"/>
      <c r="AK157" s="183"/>
      <c r="AL157" s="183"/>
      <c r="AM157" s="183"/>
      <c r="AN157" s="183"/>
    </row>
    <row r="158" spans="2:40" x14ac:dyDescent="0.25">
      <c r="B158" s="12" t="s">
        <v>11</v>
      </c>
      <c r="C158" s="13" t="s">
        <v>12</v>
      </c>
      <c r="D158" s="3" t="s">
        <v>10</v>
      </c>
      <c r="E158" s="49">
        <v>0</v>
      </c>
      <c r="F158" s="49">
        <f>IF(YEAR(Postup!$H$25)&gt;$D$144,Provozování!T23,IF(AND(DAY(Postup!$H$25)=31,MONTH(Postup!$H$25)=12,YEAR(Postup!$H$25)=$D$144),Provozování!T23,IF(YEAR(Postup!$H$25)=$D$144,Provozování!$BL23,0)))</f>
        <v>0</v>
      </c>
      <c r="G158" s="49">
        <v>0</v>
      </c>
      <c r="H158" s="442">
        <v>0</v>
      </c>
      <c r="K158" s="12" t="s">
        <v>11</v>
      </c>
      <c r="L158" s="13" t="s">
        <v>12</v>
      </c>
      <c r="M158" s="3" t="s">
        <v>10</v>
      </c>
      <c r="N158" s="49">
        <v>0</v>
      </c>
      <c r="O158" s="49">
        <f>IF(Provozování!$V$16="Neaktivní",0,Provozování!V23)</f>
        <v>0</v>
      </c>
      <c r="P158" s="49">
        <v>0</v>
      </c>
      <c r="Q158" s="442">
        <v>0</v>
      </c>
      <c r="T158" s="12" t="s">
        <v>11</v>
      </c>
      <c r="U158" s="13" t="s">
        <v>12</v>
      </c>
      <c r="V158" s="3" t="s">
        <v>10</v>
      </c>
      <c r="W158" s="595">
        <v>0</v>
      </c>
      <c r="X158" s="49">
        <f>IF(Provozování!$V$16="Neaktivní",F158,F158*Výpočty!$J$58+O158)</f>
        <v>0</v>
      </c>
      <c r="Y158" s="49">
        <f>W158-X158</f>
        <v>0</v>
      </c>
      <c r="Z158" s="445">
        <v>0</v>
      </c>
      <c r="AA158" s="445">
        <v>0</v>
      </c>
      <c r="AB158" s="442">
        <v>0</v>
      </c>
      <c r="AC158" s="183"/>
      <c r="AK158" s="183"/>
      <c r="AL158" s="183"/>
      <c r="AM158" s="183"/>
      <c r="AN158" s="183"/>
    </row>
    <row r="159" spans="2:40" x14ac:dyDescent="0.25">
      <c r="B159" s="12" t="s">
        <v>13</v>
      </c>
      <c r="C159" s="12" t="s">
        <v>14</v>
      </c>
      <c r="D159" s="3" t="s">
        <v>10</v>
      </c>
      <c r="E159" s="58">
        <v>0</v>
      </c>
      <c r="F159" s="49">
        <f>IF(YEAR(Postup!$H$25)&gt;$D$144,Provozování!T24,IF(AND(DAY(Postup!$H$25)=31,MONTH(Postup!$H$25)=12,YEAR(Postup!$H$25)=$D$144),Provozování!T24,IF(YEAR(Postup!$H$25)=$D$144,Provozování!$BL24,0)))</f>
        <v>0</v>
      </c>
      <c r="G159" s="58">
        <v>0</v>
      </c>
      <c r="H159" s="32">
        <f>IF(YEAR(Postup!$H$25)&gt;$D$144,Provozování!U24,IF(AND(DAY(Postup!$H$25)=31,MONTH(Postup!$H$25)=12,YEAR(Postup!$H$25)=$D$144),Provozování!U24,IF(YEAR(Postup!$H$25)=$D$144,Provozování!$BM24,0)))</f>
        <v>0.28999999999999998</v>
      </c>
      <c r="K159" s="12" t="s">
        <v>13</v>
      </c>
      <c r="L159" s="12" t="s">
        <v>14</v>
      </c>
      <c r="M159" s="3" t="s">
        <v>10</v>
      </c>
      <c r="N159" s="58">
        <v>0</v>
      </c>
      <c r="O159" s="49">
        <f>IF(Provozování!$V$16="Neaktivní",0,Provozování!V24)</f>
        <v>0</v>
      </c>
      <c r="P159" s="58">
        <v>0</v>
      </c>
      <c r="Q159" s="59">
        <f>IF(Provozování!$V$16="Neaktivní",0,Provozování!W24)</f>
        <v>0</v>
      </c>
      <c r="T159" s="12" t="s">
        <v>13</v>
      </c>
      <c r="U159" s="12" t="s">
        <v>14</v>
      </c>
      <c r="V159" s="3" t="s">
        <v>10</v>
      </c>
      <c r="W159" s="596">
        <v>0</v>
      </c>
      <c r="X159" s="49">
        <f>IF(Provozování!$V$16="Neaktivní",F159,F159*Výpočty!$J$58+O159)</f>
        <v>0</v>
      </c>
      <c r="Y159" s="49">
        <f t="shared" ref="Y159:Y161" si="69">W159-X159</f>
        <v>0</v>
      </c>
      <c r="Z159" s="596">
        <v>0</v>
      </c>
      <c r="AA159" s="49">
        <f>IF(Provozování!$V$16="Neaktivní",H159,H159*Výpočty!$J$58+Q159)</f>
        <v>0.28999999999999998</v>
      </c>
      <c r="AB159" s="32">
        <f t="shared" ref="AB159:AB161" si="70">Z159-AA159</f>
        <v>-0.28999999999999998</v>
      </c>
      <c r="AC159" s="183"/>
      <c r="AK159" s="183"/>
      <c r="AL159" s="183"/>
      <c r="AM159" s="183"/>
      <c r="AN159" s="183"/>
    </row>
    <row r="160" spans="2:40" x14ac:dyDescent="0.25">
      <c r="B160" s="12" t="s">
        <v>15</v>
      </c>
      <c r="C160" s="13" t="s">
        <v>16</v>
      </c>
      <c r="D160" s="3" t="s">
        <v>10</v>
      </c>
      <c r="E160" s="32">
        <v>0</v>
      </c>
      <c r="F160" s="589">
        <f>IF(YEAR(Postup!$H$25)&gt;$D$144,Provozování!T25,IF(AND(DAY(Postup!$H$25)=31,MONTH(Postup!$H$25)=12,YEAR(Postup!$H$25)=$D$144),Provozování!T25,IF(YEAR(Postup!$H$25)=$D$144,Provozování!$BL25,0)))</f>
        <v>0</v>
      </c>
      <c r="G160" s="32">
        <v>0</v>
      </c>
      <c r="H160" s="590">
        <f>IF(YEAR(Postup!$H$25)&gt;$D$144,Provozování!U25,IF(AND(DAY(Postup!$H$25)=31,MONTH(Postup!$H$25)=12,YEAR(Postup!$H$25)=$D$144),Provozování!U25,IF(YEAR(Postup!$H$25)=$D$144,Provozování!$BM25,0)))</f>
        <v>0</v>
      </c>
      <c r="K160" s="12" t="s">
        <v>15</v>
      </c>
      <c r="L160" s="13" t="s">
        <v>16</v>
      </c>
      <c r="M160" s="3" t="s">
        <v>10</v>
      </c>
      <c r="N160" s="32">
        <v>0</v>
      </c>
      <c r="O160" s="444">
        <f>IF(Provozování!$V$16="Neaktivní",0,Provozování!V25)</f>
        <v>0</v>
      </c>
      <c r="P160" s="32">
        <v>0</v>
      </c>
      <c r="Q160" s="443">
        <f>IF(Provozování!$V$16="Neaktivní",0,Provozování!W25)</f>
        <v>0</v>
      </c>
      <c r="T160" s="12" t="s">
        <v>15</v>
      </c>
      <c r="U160" s="13" t="s">
        <v>16</v>
      </c>
      <c r="V160" s="3" t="s">
        <v>10</v>
      </c>
      <c r="W160" s="597">
        <v>0</v>
      </c>
      <c r="X160" s="49">
        <f>IF(Provozování!$V$16="Neaktivní",F160,F160*Výpočty!$J$58+O160)</f>
        <v>0</v>
      </c>
      <c r="Y160" s="49">
        <f t="shared" si="69"/>
        <v>0</v>
      </c>
      <c r="Z160" s="597">
        <v>0</v>
      </c>
      <c r="AA160" s="49">
        <f>IF(Provozování!$V$16="Neaktivní",H160,H160*Výpočty!$J$58+Q160)</f>
        <v>0</v>
      </c>
      <c r="AB160" s="32">
        <f t="shared" si="70"/>
        <v>0</v>
      </c>
      <c r="AC160" s="183"/>
      <c r="AK160" s="183"/>
      <c r="AL160" s="183"/>
      <c r="AM160" s="183"/>
      <c r="AN160" s="183"/>
    </row>
    <row r="161" spans="2:40" x14ac:dyDescent="0.25">
      <c r="B161" s="12" t="s">
        <v>17</v>
      </c>
      <c r="C161" s="13" t="s">
        <v>18</v>
      </c>
      <c r="D161" s="3" t="s">
        <v>10</v>
      </c>
      <c r="E161" s="99">
        <v>0</v>
      </c>
      <c r="F161" s="589">
        <f>IF(YEAR(Postup!$H$25)&gt;$D$144,Provozování!T26,IF(AND(DAY(Postup!$H$25)=31,MONTH(Postup!$H$25)=12,YEAR(Postup!$H$25)=$D$144),Provozování!T26,IF(YEAR(Postup!$H$25)=$D$144,Provozování!$BL26,0)))</f>
        <v>0</v>
      </c>
      <c r="G161" s="99">
        <v>0</v>
      </c>
      <c r="H161" s="590">
        <f>IF(YEAR(Postup!$H$25)&gt;$D$144,Provozování!U26,IF(AND(DAY(Postup!$H$25)=31,MONTH(Postup!$H$25)=12,YEAR(Postup!$H$25)=$D$144),Provozování!U26,IF(YEAR(Postup!$H$25)=$D$144,Provozování!$BM26,0)))</f>
        <v>0</v>
      </c>
      <c r="K161" s="12" t="s">
        <v>17</v>
      </c>
      <c r="L161" s="13" t="s">
        <v>18</v>
      </c>
      <c r="M161" s="3" t="s">
        <v>10</v>
      </c>
      <c r="N161" s="99">
        <v>0</v>
      </c>
      <c r="O161" s="444">
        <f>IF(Provozování!$V$16="Neaktivní",0,Provozování!V26)</f>
        <v>0</v>
      </c>
      <c r="P161" s="99">
        <v>0</v>
      </c>
      <c r="Q161" s="443">
        <f>IF(Provozování!$V$16="Neaktivní",0,Provozování!W26)</f>
        <v>0</v>
      </c>
      <c r="T161" s="12" t="s">
        <v>17</v>
      </c>
      <c r="U161" s="13" t="s">
        <v>18</v>
      </c>
      <c r="V161" s="3" t="s">
        <v>10</v>
      </c>
      <c r="W161" s="598">
        <v>0</v>
      </c>
      <c r="X161" s="49">
        <f>IF(Provozování!$V$16="Neaktivní",F161,F161*Výpočty!$J$58+O161)</f>
        <v>0</v>
      </c>
      <c r="Y161" s="49">
        <f t="shared" si="69"/>
        <v>0</v>
      </c>
      <c r="Z161" s="598">
        <v>0</v>
      </c>
      <c r="AA161" s="49">
        <f>IF(Provozování!$V$16="Neaktivní",H161,H161*Výpočty!$J$58+Q161)</f>
        <v>0</v>
      </c>
      <c r="AB161" s="32">
        <f t="shared" si="70"/>
        <v>0</v>
      </c>
      <c r="AC161" s="183"/>
      <c r="AK161" s="183"/>
      <c r="AL161" s="183"/>
      <c r="AM161" s="183"/>
      <c r="AN161" s="183"/>
    </row>
    <row r="162" spans="2:40" x14ac:dyDescent="0.25">
      <c r="B162" s="9" t="s">
        <v>19</v>
      </c>
      <c r="C162" s="10" t="s">
        <v>20</v>
      </c>
      <c r="D162" s="11" t="s">
        <v>10</v>
      </c>
      <c r="E162" s="100">
        <f>SUM(E163:E164)</f>
        <v>0</v>
      </c>
      <c r="F162" s="100">
        <f>SUM(F163:F164)</f>
        <v>0</v>
      </c>
      <c r="G162" s="100">
        <f>SUM(G163:G164)</f>
        <v>0</v>
      </c>
      <c r="H162" s="98">
        <f>SUM(H163:H164)</f>
        <v>0</v>
      </c>
      <c r="K162" s="9" t="s">
        <v>19</v>
      </c>
      <c r="L162" s="10" t="s">
        <v>20</v>
      </c>
      <c r="M162" s="11" t="s">
        <v>10</v>
      </c>
      <c r="N162" s="100">
        <f>SUM(N163:N164)</f>
        <v>0</v>
      </c>
      <c r="O162" s="100">
        <f>SUM(O163:O164)</f>
        <v>0</v>
      </c>
      <c r="P162" s="100">
        <f>SUM(P163:P164)</f>
        <v>0</v>
      </c>
      <c r="Q162" s="98">
        <f>SUM(Q163:Q164)</f>
        <v>0</v>
      </c>
      <c r="T162" s="9" t="s">
        <v>19</v>
      </c>
      <c r="U162" s="10" t="s">
        <v>20</v>
      </c>
      <c r="V162" s="11" t="s">
        <v>10</v>
      </c>
      <c r="W162" s="98">
        <f t="shared" ref="W162:AB162" si="71">SUM(W163:W164)</f>
        <v>0</v>
      </c>
      <c r="X162" s="98">
        <f t="shared" si="71"/>
        <v>0</v>
      </c>
      <c r="Y162" s="98">
        <f t="shared" si="71"/>
        <v>0</v>
      </c>
      <c r="Z162" s="98">
        <f t="shared" si="71"/>
        <v>0</v>
      </c>
      <c r="AA162" s="98">
        <f t="shared" si="71"/>
        <v>0</v>
      </c>
      <c r="AB162" s="98">
        <f t="shared" si="71"/>
        <v>0</v>
      </c>
      <c r="AC162" s="183"/>
      <c r="AK162" s="183"/>
      <c r="AL162" s="183"/>
      <c r="AM162" s="183"/>
      <c r="AN162" s="183"/>
    </row>
    <row r="163" spans="2:40" x14ac:dyDescent="0.25">
      <c r="B163" s="12" t="s">
        <v>21</v>
      </c>
      <c r="C163" s="12" t="s">
        <v>22</v>
      </c>
      <c r="D163" s="3" t="s">
        <v>10</v>
      </c>
      <c r="E163" s="32">
        <v>0</v>
      </c>
      <c r="F163" s="589">
        <f>IF(YEAR(Postup!$H$25)&gt;$D$144,Provozování!T28,IF(AND(DAY(Postup!$H$25)=31,MONTH(Postup!$H$25)=12,YEAR(Postup!$H$25)=$D$144),Provozování!T28,IF(YEAR(Postup!$H$25)=$D$144,Provozování!$BL28,0)))</f>
        <v>0</v>
      </c>
      <c r="G163" s="32">
        <v>0</v>
      </c>
      <c r="H163" s="590">
        <f>IF(YEAR(Postup!$H$25)&gt;$D$144,Provozování!U28,IF(AND(DAY(Postup!$H$25)=31,MONTH(Postup!$H$25)=12,YEAR(Postup!$H$25)=$D$144),Provozování!U28,IF(YEAR(Postup!$H$25)=$D$144,Provozování!$BM28,0)))</f>
        <v>0</v>
      </c>
      <c r="K163" s="12" t="s">
        <v>21</v>
      </c>
      <c r="L163" s="12" t="s">
        <v>22</v>
      </c>
      <c r="M163" s="3" t="s">
        <v>10</v>
      </c>
      <c r="N163" s="32">
        <v>0</v>
      </c>
      <c r="O163" s="444">
        <f>IF(Provozování!$V$16="Neaktivní",0,Provozování!V28)</f>
        <v>0</v>
      </c>
      <c r="P163" s="32">
        <v>0</v>
      </c>
      <c r="Q163" s="443">
        <f>IF(Provozování!$V$16="Neaktivní",0,Provozování!W28)</f>
        <v>0</v>
      </c>
      <c r="T163" s="12" t="s">
        <v>21</v>
      </c>
      <c r="U163" s="12" t="s">
        <v>22</v>
      </c>
      <c r="V163" s="3" t="s">
        <v>10</v>
      </c>
      <c r="W163" s="595">
        <v>0</v>
      </c>
      <c r="X163" s="49">
        <f>IF(Provozování!$V$16="Neaktivní",F163,F163*Výpočty!$J$58+O163)</f>
        <v>0</v>
      </c>
      <c r="Y163" s="49">
        <f t="shared" ref="Y163:Y164" si="72">W163-X163</f>
        <v>0</v>
      </c>
      <c r="Z163" s="597">
        <v>0</v>
      </c>
      <c r="AA163" s="49">
        <f>IF(Provozování!$V$16="Neaktivní",H163,H163*Výpočty!$J$58+Q163)</f>
        <v>0</v>
      </c>
      <c r="AB163" s="32">
        <f t="shared" ref="AB163:AB164" si="73">Z163-AA163</f>
        <v>0</v>
      </c>
      <c r="AC163" s="183"/>
      <c r="AK163" s="183"/>
      <c r="AL163" s="183"/>
      <c r="AM163" s="183"/>
      <c r="AN163" s="183"/>
    </row>
    <row r="164" spans="2:40" x14ac:dyDescent="0.25">
      <c r="B164" s="12" t="s">
        <v>23</v>
      </c>
      <c r="C164" s="12" t="s">
        <v>24</v>
      </c>
      <c r="D164" s="3" t="s">
        <v>10</v>
      </c>
      <c r="E164" s="99">
        <v>0</v>
      </c>
      <c r="F164" s="589">
        <f>IF(YEAR(Postup!$H$25)&gt;$D$144,Provozování!T29,IF(AND(DAY(Postup!$H$25)=31,MONTH(Postup!$H$25)=12,YEAR(Postup!$H$25)=$D$144),Provozování!T29,IF(YEAR(Postup!$H$25)=$D$144,Provozování!$BL29,0)))</f>
        <v>0</v>
      </c>
      <c r="G164" s="99">
        <v>0</v>
      </c>
      <c r="H164" s="590">
        <f>IF(YEAR(Postup!$H$25)&gt;$D$144,Provozování!U29,IF(AND(DAY(Postup!$H$25)=31,MONTH(Postup!$H$25)=12,YEAR(Postup!$H$25)=$D$144),Provozování!U29,IF(YEAR(Postup!$H$25)=$D$144,Provozování!$BM29,0)))</f>
        <v>0</v>
      </c>
      <c r="K164" s="12" t="s">
        <v>23</v>
      </c>
      <c r="L164" s="12" t="s">
        <v>24</v>
      </c>
      <c r="M164" s="3" t="s">
        <v>10</v>
      </c>
      <c r="N164" s="99">
        <v>0</v>
      </c>
      <c r="O164" s="444">
        <f>IF(Provozování!$V$16="Neaktivní",0,Provozování!V29)</f>
        <v>0</v>
      </c>
      <c r="P164" s="99">
        <v>0</v>
      </c>
      <c r="Q164" s="443">
        <f>IF(Provozování!$V$16="Neaktivní",0,Provozování!W29)</f>
        <v>0</v>
      </c>
      <c r="T164" s="12" t="s">
        <v>23</v>
      </c>
      <c r="U164" s="12" t="s">
        <v>24</v>
      </c>
      <c r="V164" s="3" t="s">
        <v>10</v>
      </c>
      <c r="W164" s="596">
        <v>0</v>
      </c>
      <c r="X164" s="49">
        <f>IF(Provozování!$V$16="Neaktivní",F164,F164*Výpočty!$J$58+O164)</f>
        <v>0</v>
      </c>
      <c r="Y164" s="49">
        <f t="shared" si="72"/>
        <v>0</v>
      </c>
      <c r="Z164" s="598">
        <v>0</v>
      </c>
      <c r="AA164" s="49">
        <f>IF(Provozování!$V$16="Neaktivní",H164,H164*Výpočty!$J$58+Q164)</f>
        <v>0</v>
      </c>
      <c r="AB164" s="32">
        <f t="shared" si="73"/>
        <v>0</v>
      </c>
      <c r="AC164" s="183"/>
      <c r="AK164" s="183"/>
      <c r="AL164" s="183"/>
      <c r="AM164" s="183"/>
      <c r="AN164" s="183"/>
    </row>
    <row r="165" spans="2:40" x14ac:dyDescent="0.25">
      <c r="B165" s="9" t="s">
        <v>25</v>
      </c>
      <c r="C165" s="10" t="s">
        <v>26</v>
      </c>
      <c r="D165" s="11" t="s">
        <v>10</v>
      </c>
      <c r="E165" s="46">
        <f>SUM(E166:E167)</f>
        <v>0</v>
      </c>
      <c r="F165" s="46">
        <f>SUM(F166:F167)</f>
        <v>0</v>
      </c>
      <c r="G165" s="46">
        <f>SUM(G166:G167)</f>
        <v>0</v>
      </c>
      <c r="H165" s="98">
        <f>SUM(H166:H167)</f>
        <v>0</v>
      </c>
      <c r="K165" s="9" t="s">
        <v>25</v>
      </c>
      <c r="L165" s="10" t="s">
        <v>26</v>
      </c>
      <c r="M165" s="11" t="s">
        <v>10</v>
      </c>
      <c r="N165" s="46">
        <f>SUM(N166:N167)</f>
        <v>0</v>
      </c>
      <c r="O165" s="46">
        <f>SUM(O166:O167)</f>
        <v>0</v>
      </c>
      <c r="P165" s="46">
        <f>SUM(P166:P167)</f>
        <v>0</v>
      </c>
      <c r="Q165" s="98">
        <f>SUM(Q166:Q167)</f>
        <v>0</v>
      </c>
      <c r="T165" s="9" t="s">
        <v>25</v>
      </c>
      <c r="U165" s="10" t="s">
        <v>26</v>
      </c>
      <c r="V165" s="11" t="s">
        <v>10</v>
      </c>
      <c r="W165" s="98">
        <f t="shared" ref="W165:AB165" si="74">SUM(W166:W167)</f>
        <v>0</v>
      </c>
      <c r="X165" s="98">
        <f t="shared" si="74"/>
        <v>0</v>
      </c>
      <c r="Y165" s="98">
        <f t="shared" si="74"/>
        <v>0</v>
      </c>
      <c r="Z165" s="98">
        <f t="shared" si="74"/>
        <v>0</v>
      </c>
      <c r="AA165" s="98">
        <f t="shared" si="74"/>
        <v>0</v>
      </c>
      <c r="AB165" s="98">
        <f t="shared" si="74"/>
        <v>0</v>
      </c>
      <c r="AC165" s="183"/>
      <c r="AD165" s="183"/>
      <c r="AK165" s="183"/>
      <c r="AL165" s="183"/>
      <c r="AM165" s="183"/>
      <c r="AN165" s="183"/>
    </row>
    <row r="166" spans="2:40" x14ac:dyDescent="0.25">
      <c r="B166" s="12" t="s">
        <v>27</v>
      </c>
      <c r="C166" s="13" t="s">
        <v>28</v>
      </c>
      <c r="D166" s="3" t="s">
        <v>10</v>
      </c>
      <c r="E166" s="49">
        <v>0</v>
      </c>
      <c r="F166" s="589">
        <f>IF(YEAR(Postup!$H$25)&gt;$D$144,Provozování!T31,IF(AND(DAY(Postup!$H$25)=31,MONTH(Postup!$H$25)=12,YEAR(Postup!$H$25)=$D$144),Provozování!T31,IF(YEAR(Postup!$H$25)=$D$144,Provozování!$BL31,0)))</f>
        <v>0</v>
      </c>
      <c r="G166" s="49">
        <v>0</v>
      </c>
      <c r="H166" s="590">
        <f>IF(YEAR(Postup!$H$25)&gt;$D$144,Provozování!U31,IF(AND(DAY(Postup!$H$25)=31,MONTH(Postup!$H$25)=12,YEAR(Postup!$H$25)=$D$144),Provozování!U31,IF(YEAR(Postup!$H$25)=$D$144,Provozování!$BM31,0)))</f>
        <v>0</v>
      </c>
      <c r="K166" s="12" t="s">
        <v>27</v>
      </c>
      <c r="L166" s="13" t="s">
        <v>28</v>
      </c>
      <c r="M166" s="3" t="s">
        <v>10</v>
      </c>
      <c r="N166" s="49">
        <v>0</v>
      </c>
      <c r="O166" s="444">
        <f>IF(Provozování!$V$16="Neaktivní",0,Provozování!V31)</f>
        <v>0</v>
      </c>
      <c r="P166" s="49">
        <v>0</v>
      </c>
      <c r="Q166" s="443">
        <f>IF(Provozování!$V$16="Neaktivní",0,Provozování!W31)</f>
        <v>0</v>
      </c>
      <c r="T166" s="12" t="s">
        <v>27</v>
      </c>
      <c r="U166" s="13" t="s">
        <v>28</v>
      </c>
      <c r="V166" s="3" t="s">
        <v>10</v>
      </c>
      <c r="W166" s="595">
        <v>0</v>
      </c>
      <c r="X166" s="49">
        <f>IF(Provozování!$V$16="Neaktivní",F166,F166*Výpočty!$J$58+O166)</f>
        <v>0</v>
      </c>
      <c r="Y166" s="49">
        <f t="shared" ref="Y166:Y167" si="75">W166-X166</f>
        <v>0</v>
      </c>
      <c r="Z166" s="595">
        <v>0</v>
      </c>
      <c r="AA166" s="49">
        <f>IF(Provozování!$V$16="Neaktivní",H166,H166*Výpočty!$J$58+Q166)</f>
        <v>0</v>
      </c>
      <c r="AB166" s="32">
        <f t="shared" ref="AB166:AB167" si="76">Z166-AA166</f>
        <v>0</v>
      </c>
      <c r="AC166" s="183"/>
      <c r="AD166" s="183"/>
      <c r="AK166" s="183"/>
      <c r="AL166" s="183"/>
      <c r="AM166" s="183"/>
      <c r="AN166" s="183"/>
    </row>
    <row r="167" spans="2:40" x14ac:dyDescent="0.25">
      <c r="B167" s="12" t="s">
        <v>29</v>
      </c>
      <c r="C167" s="13" t="s">
        <v>30</v>
      </c>
      <c r="D167" s="3" t="s">
        <v>10</v>
      </c>
      <c r="E167" s="49">
        <v>0</v>
      </c>
      <c r="F167" s="589">
        <f>IF(YEAR(Postup!$H$25)&gt;$D$144,Provozování!T32,IF(AND(DAY(Postup!$H$25)=31,MONTH(Postup!$H$25)=12,YEAR(Postup!$H$25)=$D$144),Provozování!T32,IF(YEAR(Postup!$H$25)=$D$144,Provozování!$BL32,0)))</f>
        <v>0</v>
      </c>
      <c r="G167" s="49">
        <v>0</v>
      </c>
      <c r="H167" s="590">
        <f>IF(YEAR(Postup!$H$25)&gt;$D$144,Provozování!U32,IF(AND(DAY(Postup!$H$25)=31,MONTH(Postup!$H$25)=12,YEAR(Postup!$H$25)=$D$144),Provozování!U32,IF(YEAR(Postup!$H$25)=$D$144,Provozování!$BM32,0)))</f>
        <v>0</v>
      </c>
      <c r="K167" s="12" t="s">
        <v>29</v>
      </c>
      <c r="L167" s="13" t="s">
        <v>30</v>
      </c>
      <c r="M167" s="3" t="s">
        <v>10</v>
      </c>
      <c r="N167" s="49">
        <v>0</v>
      </c>
      <c r="O167" s="444">
        <f>IF(Provozování!$V$16="Neaktivní",0,Provozování!V32)</f>
        <v>0</v>
      </c>
      <c r="P167" s="49">
        <v>0</v>
      </c>
      <c r="Q167" s="443">
        <f>IF(Provozování!$V$16="Neaktivní",0,Provozování!W32)</f>
        <v>0</v>
      </c>
      <c r="T167" s="12" t="s">
        <v>29</v>
      </c>
      <c r="U167" s="13" t="s">
        <v>30</v>
      </c>
      <c r="V167" s="3" t="s">
        <v>10</v>
      </c>
      <c r="W167" s="595">
        <v>0</v>
      </c>
      <c r="X167" s="49">
        <f>IF(Provozování!$V$16="Neaktivní",F167,F167*Výpočty!$J$58+O167)</f>
        <v>0</v>
      </c>
      <c r="Y167" s="49">
        <f t="shared" si="75"/>
        <v>0</v>
      </c>
      <c r="Z167" s="595">
        <v>0</v>
      </c>
      <c r="AA167" s="49">
        <f>IF(Provozování!$V$16="Neaktivní",H167,H167*Výpočty!$J$58+Q167)</f>
        <v>0</v>
      </c>
      <c r="AB167" s="32">
        <f t="shared" si="76"/>
        <v>0</v>
      </c>
      <c r="AC167" s="183"/>
      <c r="AD167" s="183"/>
      <c r="AK167" s="183"/>
      <c r="AL167" s="183"/>
      <c r="AM167" s="183"/>
      <c r="AN167" s="183"/>
    </row>
    <row r="168" spans="2:40" x14ac:dyDescent="0.25">
      <c r="B168" s="9" t="s">
        <v>31</v>
      </c>
      <c r="C168" s="10" t="s">
        <v>32</v>
      </c>
      <c r="D168" s="11" t="s">
        <v>10</v>
      </c>
      <c r="E168" s="46">
        <f>SUM(E169:E172)</f>
        <v>0</v>
      </c>
      <c r="F168" s="46">
        <f>SUM(F169:F172)</f>
        <v>0</v>
      </c>
      <c r="G168" s="46">
        <f>SUM(G169:G172)</f>
        <v>0</v>
      </c>
      <c r="H168" s="98">
        <f>SUM(H169:H172)</f>
        <v>0.14000000000000001</v>
      </c>
      <c r="K168" s="9" t="s">
        <v>31</v>
      </c>
      <c r="L168" s="10" t="s">
        <v>32</v>
      </c>
      <c r="M168" s="11" t="s">
        <v>10</v>
      </c>
      <c r="N168" s="46">
        <f>SUM(N169:N172)</f>
        <v>0</v>
      </c>
      <c r="O168" s="46">
        <f>SUM(O169:O172)</f>
        <v>0</v>
      </c>
      <c r="P168" s="46">
        <f>SUM(P169:P172)</f>
        <v>0</v>
      </c>
      <c r="Q168" s="98">
        <f>SUM(Q169:Q172)</f>
        <v>0</v>
      </c>
      <c r="T168" s="9" t="s">
        <v>31</v>
      </c>
      <c r="U168" s="10" t="s">
        <v>32</v>
      </c>
      <c r="V168" s="11" t="s">
        <v>10</v>
      </c>
      <c r="W168" s="98">
        <f t="shared" ref="W168:AB168" si="77">SUM(W169:W172)</f>
        <v>0</v>
      </c>
      <c r="X168" s="98">
        <f t="shared" si="77"/>
        <v>0</v>
      </c>
      <c r="Y168" s="98">
        <f t="shared" si="77"/>
        <v>0</v>
      </c>
      <c r="Z168" s="98">
        <f t="shared" si="77"/>
        <v>0</v>
      </c>
      <c r="AA168" s="98">
        <f t="shared" si="77"/>
        <v>0.14000000000000001</v>
      </c>
      <c r="AB168" s="98">
        <f t="shared" si="77"/>
        <v>-0.14000000000000001</v>
      </c>
      <c r="AC168" s="183"/>
      <c r="AD168" s="183"/>
      <c r="AK168" s="183"/>
      <c r="AL168" s="183"/>
      <c r="AM168" s="183"/>
      <c r="AN168" s="183"/>
    </row>
    <row r="169" spans="2:40" x14ac:dyDescent="0.25">
      <c r="B169" s="12" t="s">
        <v>33</v>
      </c>
      <c r="C169" s="21" t="s">
        <v>34</v>
      </c>
      <c r="D169" s="3" t="s">
        <v>10</v>
      </c>
      <c r="E169" s="49">
        <v>0</v>
      </c>
      <c r="F169" s="49">
        <f>IF(YEAR(Postup!$H$25)&gt;$D$144,Provozování!T34,IF(AND(DAY(Postup!$H$25)=31,MONTH(Postup!$H$25)=12,YEAR(Postup!$H$25)=$D$144),Provozování!T34,IF(YEAR(Postup!$H$25)=$D$144,Provozování!$BL34,0)))</f>
        <v>0</v>
      </c>
      <c r="G169" s="49">
        <v>0</v>
      </c>
      <c r="H169" s="32">
        <f>IF(YEAR(Postup!$H$25)&gt;$D$144,Provozování!U34,IF(AND(DAY(Postup!$H$25)=31,MONTH(Postup!$H$25)=12,YEAR(Postup!$H$25)=$D$144),Provozování!U34,IF(YEAR(Postup!$H$25)=$D$144,Provozování!$BM34,0)))</f>
        <v>0</v>
      </c>
      <c r="K169" s="12" t="s">
        <v>33</v>
      </c>
      <c r="L169" s="21" t="s">
        <v>34</v>
      </c>
      <c r="M169" s="3" t="s">
        <v>10</v>
      </c>
      <c r="N169" s="49">
        <v>0</v>
      </c>
      <c r="O169" s="49">
        <f>IF(Provozování!$V$16="Neaktivní",0,Provozování!V34)</f>
        <v>0</v>
      </c>
      <c r="P169" s="49">
        <v>0</v>
      </c>
      <c r="Q169" s="59">
        <f>IF(Provozování!$V$16="Neaktivní",0,Provozování!W34)</f>
        <v>0</v>
      </c>
      <c r="T169" s="12" t="s">
        <v>33</v>
      </c>
      <c r="U169" s="21" t="s">
        <v>34</v>
      </c>
      <c r="V169" s="3" t="s">
        <v>10</v>
      </c>
      <c r="W169" s="595">
        <v>0</v>
      </c>
      <c r="X169" s="49">
        <f>IF(Provozování!$V$16="Neaktivní",F169,F169*Výpočty!$J$58+O169)</f>
        <v>0</v>
      </c>
      <c r="Y169" s="49">
        <f t="shared" ref="Y169:Y171" si="78">W169-X169</f>
        <v>0</v>
      </c>
      <c r="Z169" s="595">
        <v>0</v>
      </c>
      <c r="AA169" s="49">
        <f>IF(Provozování!$V$16="Neaktivní",H169,H169*Výpočty!$J$58+Q169)</f>
        <v>0</v>
      </c>
      <c r="AB169" s="32">
        <f t="shared" ref="AB169:AB171" si="79">Z169-AA169</f>
        <v>0</v>
      </c>
      <c r="AC169" s="183"/>
      <c r="AD169" s="183"/>
      <c r="AK169" s="183"/>
      <c r="AL169" s="183"/>
      <c r="AM169" s="183"/>
      <c r="AN169" s="183"/>
    </row>
    <row r="170" spans="2:40" x14ac:dyDescent="0.25">
      <c r="B170" s="12" t="s">
        <v>35</v>
      </c>
      <c r="C170" s="13" t="s">
        <v>36</v>
      </c>
      <c r="D170" s="3" t="s">
        <v>10</v>
      </c>
      <c r="E170" s="49">
        <v>0</v>
      </c>
      <c r="F170" s="589">
        <f>IF(YEAR(Postup!$H$25)&gt;$D$144,Provozování!T35,IF(AND(DAY(Postup!$H$25)=31,MONTH(Postup!$H$25)=12,YEAR(Postup!$H$25)=$D$144),Provozování!T35,IF(YEAR(Postup!$H$25)=$D$144,Provozování!$BL35,0)))</f>
        <v>0</v>
      </c>
      <c r="G170" s="49">
        <v>0</v>
      </c>
      <c r="H170" s="590">
        <f>IF(YEAR(Postup!$H$25)&gt;$D$144,Provozování!U35,IF(AND(DAY(Postup!$H$25)=31,MONTH(Postup!$H$25)=12,YEAR(Postup!$H$25)=$D$144),Provozování!U35,IF(YEAR(Postup!$H$25)=$D$144,Provozování!$BM35,0)))</f>
        <v>0</v>
      </c>
      <c r="K170" s="12" t="s">
        <v>35</v>
      </c>
      <c r="L170" s="13" t="s">
        <v>36</v>
      </c>
      <c r="M170" s="3" t="s">
        <v>10</v>
      </c>
      <c r="N170" s="49">
        <v>0</v>
      </c>
      <c r="O170" s="444">
        <f>IF(Provozování!$V$16="Neaktivní",0,Provozování!V35)</f>
        <v>0</v>
      </c>
      <c r="P170" s="49">
        <v>0</v>
      </c>
      <c r="Q170" s="450">
        <f>IF(Provozování!$V$16="Neaktivní",0,Provozování!W35)</f>
        <v>0</v>
      </c>
      <c r="T170" s="12" t="s">
        <v>35</v>
      </c>
      <c r="U170" s="13" t="s">
        <v>36</v>
      </c>
      <c r="V170" s="3" t="s">
        <v>10</v>
      </c>
      <c r="W170" s="595">
        <v>0</v>
      </c>
      <c r="X170" s="49">
        <f>IF(Provozování!$V$16="Neaktivní",F170,F170*Výpočty!$J$58+O170)</f>
        <v>0</v>
      </c>
      <c r="Y170" s="49">
        <f t="shared" si="78"/>
        <v>0</v>
      </c>
      <c r="Z170" s="595">
        <v>0</v>
      </c>
      <c r="AA170" s="49">
        <f>IF(Provozování!$V$16="Neaktivní",H170,H170*Výpočty!$J$58+Q170)</f>
        <v>0</v>
      </c>
      <c r="AB170" s="32">
        <f t="shared" si="79"/>
        <v>0</v>
      </c>
      <c r="AC170" s="183"/>
      <c r="AD170" s="183"/>
      <c r="AK170" s="183"/>
      <c r="AL170" s="183"/>
      <c r="AM170" s="183"/>
      <c r="AN170" s="183"/>
    </row>
    <row r="171" spans="2:40" x14ac:dyDescent="0.25">
      <c r="B171" s="12" t="s">
        <v>37</v>
      </c>
      <c r="C171" s="13" t="s">
        <v>38</v>
      </c>
      <c r="D171" s="3" t="s">
        <v>10</v>
      </c>
      <c r="E171" s="49">
        <v>0</v>
      </c>
      <c r="F171" s="49">
        <f>IF(YEAR(Postup!$H$25)&gt;$D$144,Provozování!T36,IF(AND(DAY(Postup!$H$25)=31,MONTH(Postup!$H$25)=12,YEAR(Postup!$H$25)=$D$144),Provozování!T36,IF(YEAR(Postup!$H$25)=$D$144,Provozování!$BL36,0)))</f>
        <v>0</v>
      </c>
      <c r="G171" s="49">
        <v>0</v>
      </c>
      <c r="H171" s="32">
        <f>IF(YEAR(Postup!$H$25)&gt;$D$144,Provozování!U36,IF(AND(DAY(Postup!$H$25)=31,MONTH(Postup!$H$25)=12,YEAR(Postup!$H$25)=$D$144),Provozování!U36,IF(YEAR(Postup!$H$25)=$D$144,Provozování!$BM36,0)))</f>
        <v>0.14000000000000001</v>
      </c>
      <c r="K171" s="12" t="s">
        <v>37</v>
      </c>
      <c r="L171" s="13" t="s">
        <v>38</v>
      </c>
      <c r="M171" s="3" t="s">
        <v>10</v>
      </c>
      <c r="N171" s="49">
        <v>0</v>
      </c>
      <c r="O171" s="49">
        <f>IF(Provozování!$V$16="Neaktivní",0,Provozování!V36)</f>
        <v>0</v>
      </c>
      <c r="P171" s="49">
        <v>0</v>
      </c>
      <c r="Q171" s="59">
        <f>IF(Provozování!$V$16="Neaktivní",0,Provozování!W36)</f>
        <v>0</v>
      </c>
      <c r="T171" s="12" t="s">
        <v>37</v>
      </c>
      <c r="U171" s="13" t="s">
        <v>38</v>
      </c>
      <c r="V171" s="3" t="s">
        <v>10</v>
      </c>
      <c r="W171" s="595">
        <v>0</v>
      </c>
      <c r="X171" s="49">
        <f>IF(Provozování!$V$16="Neaktivní",F171,F171*Výpočty!$J$58+O171)</f>
        <v>0</v>
      </c>
      <c r="Y171" s="49">
        <f t="shared" si="78"/>
        <v>0</v>
      </c>
      <c r="Z171" s="595">
        <v>0</v>
      </c>
      <c r="AA171" s="49">
        <f>IF(Provozování!$V$16="Neaktivní",H171,H171*Výpočty!$J$58+Q171)</f>
        <v>0.14000000000000001</v>
      </c>
      <c r="AB171" s="32">
        <f t="shared" si="79"/>
        <v>-0.14000000000000001</v>
      </c>
      <c r="AC171" s="183"/>
      <c r="AD171" s="183"/>
      <c r="AK171" s="183"/>
      <c r="AL171" s="183"/>
      <c r="AM171" s="183"/>
      <c r="AN171" s="183"/>
    </row>
    <row r="172" spans="2:40" x14ac:dyDescent="0.25">
      <c r="B172" s="12" t="s">
        <v>39</v>
      </c>
      <c r="C172" s="21" t="s">
        <v>40</v>
      </c>
      <c r="D172" s="3" t="s">
        <v>10</v>
      </c>
      <c r="E172" s="49">
        <v>0</v>
      </c>
      <c r="F172" s="445">
        <v>0</v>
      </c>
      <c r="G172" s="49">
        <v>0</v>
      </c>
      <c r="H172" s="442">
        <v>0</v>
      </c>
      <c r="K172" s="12" t="s">
        <v>39</v>
      </c>
      <c r="L172" s="21" t="s">
        <v>40</v>
      </c>
      <c r="M172" s="3" t="s">
        <v>10</v>
      </c>
      <c r="N172" s="49">
        <v>0</v>
      </c>
      <c r="O172" s="445">
        <v>0</v>
      </c>
      <c r="P172" s="49">
        <v>0</v>
      </c>
      <c r="Q172" s="442">
        <v>0</v>
      </c>
      <c r="T172" s="12" t="s">
        <v>39</v>
      </c>
      <c r="U172" s="21" t="s">
        <v>40</v>
      </c>
      <c r="V172" s="3" t="s">
        <v>10</v>
      </c>
      <c r="W172" s="445">
        <v>0</v>
      </c>
      <c r="X172" s="445">
        <v>0</v>
      </c>
      <c r="Y172" s="445">
        <v>0</v>
      </c>
      <c r="Z172" s="445">
        <v>0</v>
      </c>
      <c r="AA172" s="445">
        <v>0</v>
      </c>
      <c r="AB172" s="442">
        <v>0</v>
      </c>
      <c r="AC172" s="183"/>
      <c r="AD172" s="183"/>
      <c r="AK172" s="183"/>
      <c r="AL172" s="183"/>
      <c r="AM172" s="183"/>
      <c r="AN172" s="183"/>
    </row>
    <row r="173" spans="2:40" x14ac:dyDescent="0.25">
      <c r="B173" s="9" t="s">
        <v>41</v>
      </c>
      <c r="C173" s="10" t="s">
        <v>42</v>
      </c>
      <c r="D173" s="11" t="s">
        <v>10</v>
      </c>
      <c r="E173" s="46">
        <f>SUM(E174:E176)</f>
        <v>0</v>
      </c>
      <c r="F173" s="46">
        <f>SUM(F174:F176)</f>
        <v>0</v>
      </c>
      <c r="G173" s="46">
        <f>SUM(G174:G176)</f>
        <v>0</v>
      </c>
      <c r="H173" s="98">
        <f>SUM(H174:H176)</f>
        <v>0</v>
      </c>
      <c r="K173" s="9" t="s">
        <v>41</v>
      </c>
      <c r="L173" s="10" t="s">
        <v>42</v>
      </c>
      <c r="M173" s="11" t="s">
        <v>10</v>
      </c>
      <c r="N173" s="46">
        <f>SUM(N174:N176)</f>
        <v>0</v>
      </c>
      <c r="O173" s="46">
        <f>SUM(O174:O176)</f>
        <v>0</v>
      </c>
      <c r="P173" s="46">
        <f>SUM(P174:P176)</f>
        <v>0</v>
      </c>
      <c r="Q173" s="98">
        <f>SUM(Q174:Q176)</f>
        <v>0</v>
      </c>
      <c r="T173" s="9" t="s">
        <v>41</v>
      </c>
      <c r="U173" s="10" t="s">
        <v>42</v>
      </c>
      <c r="V173" s="11" t="s">
        <v>10</v>
      </c>
      <c r="W173" s="98">
        <f t="shared" ref="W173:AB173" si="80">SUM(W174:W176)</f>
        <v>0</v>
      </c>
      <c r="X173" s="98">
        <f t="shared" si="80"/>
        <v>0</v>
      </c>
      <c r="Y173" s="98">
        <f t="shared" si="80"/>
        <v>0</v>
      </c>
      <c r="Z173" s="98">
        <f t="shared" si="80"/>
        <v>0</v>
      </c>
      <c r="AA173" s="98">
        <f t="shared" si="80"/>
        <v>0</v>
      </c>
      <c r="AB173" s="98">
        <f t="shared" si="80"/>
        <v>0</v>
      </c>
      <c r="AC173" s="183"/>
      <c r="AD173" s="183"/>
      <c r="AK173" s="183"/>
      <c r="AL173" s="183"/>
      <c r="AM173" s="183"/>
      <c r="AN173" s="183"/>
    </row>
    <row r="174" spans="2:40" x14ac:dyDescent="0.25">
      <c r="B174" s="12" t="s">
        <v>43</v>
      </c>
      <c r="C174" s="13" t="s">
        <v>44</v>
      </c>
      <c r="D174" s="3" t="s">
        <v>10</v>
      </c>
      <c r="E174" s="49">
        <v>0</v>
      </c>
      <c r="F174" s="445">
        <v>0</v>
      </c>
      <c r="G174" s="49">
        <v>0</v>
      </c>
      <c r="H174" s="32">
        <f>IF(YEAR(Postup!$H$25)&gt;$D$144,Provozování!U39,IF(AND(DAY(Postup!$H$25)=31,MONTH(Postup!$H$25)=12,YEAR(Postup!$H$25)=$D$144),Provozování!U39,IF(YEAR(Postup!$H$25)=$D$144,Provozování!$BM39,0)))</f>
        <v>0</v>
      </c>
      <c r="K174" s="12" t="s">
        <v>43</v>
      </c>
      <c r="L174" s="13" t="s">
        <v>44</v>
      </c>
      <c r="M174" s="3" t="s">
        <v>10</v>
      </c>
      <c r="N174" s="49">
        <v>0</v>
      </c>
      <c r="O174" s="445">
        <v>0</v>
      </c>
      <c r="P174" s="49">
        <v>0</v>
      </c>
      <c r="Q174" s="59">
        <f>IF(Provozování!$V$16="Neaktivní",0,Provozování!W39)</f>
        <v>0</v>
      </c>
      <c r="T174" s="12" t="s">
        <v>43</v>
      </c>
      <c r="U174" s="13" t="s">
        <v>44</v>
      </c>
      <c r="V174" s="3" t="s">
        <v>10</v>
      </c>
      <c r="W174" s="445">
        <v>0</v>
      </c>
      <c r="X174" s="445">
        <v>0</v>
      </c>
      <c r="Y174" s="445">
        <v>0</v>
      </c>
      <c r="Z174" s="595">
        <v>0</v>
      </c>
      <c r="AA174" s="49">
        <f>IF(Provozování!$V$16="Neaktivní",H174,H174*Výpočty!$J$58+Q174)</f>
        <v>0</v>
      </c>
      <c r="AB174" s="32">
        <f t="shared" ref="AB174:AB177" si="81">Z174-AA174</f>
        <v>0</v>
      </c>
      <c r="AC174" s="183"/>
      <c r="AD174" s="183"/>
      <c r="AE174" s="951" t="s">
        <v>362</v>
      </c>
      <c r="AF174" s="952"/>
      <c r="AG174" s="447">
        <f>Y154</f>
        <v>2022</v>
      </c>
      <c r="AH174" s="447">
        <f>AG174</f>
        <v>2022</v>
      </c>
      <c r="AK174" s="183"/>
      <c r="AL174" s="183"/>
      <c r="AM174" s="183"/>
      <c r="AN174" s="183"/>
    </row>
    <row r="175" spans="2:40" x14ac:dyDescent="0.25">
      <c r="B175" s="12" t="s">
        <v>45</v>
      </c>
      <c r="C175" s="12" t="s">
        <v>46</v>
      </c>
      <c r="D175" s="3" t="s">
        <v>10</v>
      </c>
      <c r="E175" s="49">
        <v>0</v>
      </c>
      <c r="F175" s="589">
        <f>IF(YEAR(Postup!$H$25)&gt;$D$144,Provozování!T40,IF(AND(DAY(Postup!$H$25)=31,MONTH(Postup!$H$25)=12,YEAR(Postup!$H$25)=$D$144),Provozování!T40,IF(YEAR(Postup!$H$25)=$D$144,Provozování!$BL40,0)))</f>
        <v>0</v>
      </c>
      <c r="G175" s="49">
        <v>0</v>
      </c>
      <c r="H175" s="590">
        <f>IF(YEAR(Postup!$H$25)&gt;$D$144,Provozování!U40,IF(AND(DAY(Postup!$H$25)=31,MONTH(Postup!$H$25)=12,YEAR(Postup!$H$25)=$D$144),Provozování!U40,IF(YEAR(Postup!$H$25)=$D$144,Provozování!$BM40,0)))</f>
        <v>0</v>
      </c>
      <c r="K175" s="12" t="s">
        <v>45</v>
      </c>
      <c r="L175" s="12" t="s">
        <v>46</v>
      </c>
      <c r="M175" s="3" t="s">
        <v>10</v>
      </c>
      <c r="N175" s="49">
        <v>0</v>
      </c>
      <c r="O175" s="444">
        <f>IF(Provozování!$V$16="Neaktivní",0,Provozování!V40)</f>
        <v>0</v>
      </c>
      <c r="P175" s="49">
        <v>0</v>
      </c>
      <c r="Q175" s="443">
        <f>IF(Provozování!$V$16="Neaktivní",0,Provozování!W40)</f>
        <v>0</v>
      </c>
      <c r="T175" s="12" t="s">
        <v>45</v>
      </c>
      <c r="U175" s="12" t="s">
        <v>46</v>
      </c>
      <c r="V175" s="3" t="s">
        <v>10</v>
      </c>
      <c r="W175" s="595">
        <v>0</v>
      </c>
      <c r="X175" s="49">
        <f>IF(Provozování!$V$16="Neaktivní",F175,F175*Výpočty!$J$58+O175)</f>
        <v>0</v>
      </c>
      <c r="Y175" s="49">
        <f t="shared" ref="Y175:Y177" si="82">W175-X175</f>
        <v>0</v>
      </c>
      <c r="Z175" s="595">
        <v>0</v>
      </c>
      <c r="AA175" s="49">
        <f>IF(Provozování!$V$16="Neaktivní",H175,H175*Výpočty!$J$58+Q175)</f>
        <v>0</v>
      </c>
      <c r="AB175" s="32">
        <f t="shared" si="81"/>
        <v>0</v>
      </c>
      <c r="AC175" s="183"/>
      <c r="AD175" s="183"/>
      <c r="AE175" s="953"/>
      <c r="AF175" s="954"/>
      <c r="AG175" s="957" t="s">
        <v>299</v>
      </c>
      <c r="AH175" s="957" t="s">
        <v>300</v>
      </c>
      <c r="AK175" s="183"/>
      <c r="AL175" s="183"/>
      <c r="AM175" s="183"/>
      <c r="AN175" s="183"/>
    </row>
    <row r="176" spans="2:40" x14ac:dyDescent="0.25">
      <c r="B176" s="12" t="s">
        <v>47</v>
      </c>
      <c r="C176" s="13" t="s">
        <v>48</v>
      </c>
      <c r="D176" s="3" t="s">
        <v>10</v>
      </c>
      <c r="E176" s="49">
        <v>0</v>
      </c>
      <c r="F176" s="589">
        <f>IF(YEAR(Postup!$H$25)&gt;$D$144,Provozování!T41,IF(AND(DAY(Postup!$H$25)=31,MONTH(Postup!$H$25)=12,YEAR(Postup!$H$25)=$D$144),Provozování!T41,IF(YEAR(Postup!$H$25)=$D$144,Provozování!$BL41,0)))</f>
        <v>0</v>
      </c>
      <c r="G176" s="49">
        <v>0</v>
      </c>
      <c r="H176" s="590">
        <f>IF(YEAR(Postup!$H$25)&gt;$D$144,Provozování!U41,IF(AND(DAY(Postup!$H$25)=31,MONTH(Postup!$H$25)=12,YEAR(Postup!$H$25)=$D$144),Provozování!U41,IF(YEAR(Postup!$H$25)=$D$144,Provozování!$BM41,0)))</f>
        <v>0</v>
      </c>
      <c r="K176" s="12" t="s">
        <v>47</v>
      </c>
      <c r="L176" s="13" t="s">
        <v>48</v>
      </c>
      <c r="M176" s="3" t="s">
        <v>10</v>
      </c>
      <c r="N176" s="49">
        <v>0</v>
      </c>
      <c r="O176" s="444">
        <f>IF(Provozování!$V$16="Neaktivní",0,Provozování!V41)</f>
        <v>0</v>
      </c>
      <c r="P176" s="49">
        <v>0</v>
      </c>
      <c r="Q176" s="443">
        <f>IF(Provozování!$V$16="Neaktivní",0,Provozování!W41)</f>
        <v>0</v>
      </c>
      <c r="T176" s="12" t="s">
        <v>47</v>
      </c>
      <c r="U176" s="13" t="s">
        <v>48</v>
      </c>
      <c r="V176" s="3" t="s">
        <v>10</v>
      </c>
      <c r="W176" s="595">
        <v>0</v>
      </c>
      <c r="X176" s="49">
        <f>IF(Provozování!$V$16="Neaktivní",F176,F176*Výpočty!$J$58+O176)</f>
        <v>0</v>
      </c>
      <c r="Y176" s="49">
        <f t="shared" si="82"/>
        <v>0</v>
      </c>
      <c r="Z176" s="595">
        <v>0</v>
      </c>
      <c r="AA176" s="49">
        <f>IF(Provozování!$V$16="Neaktivní",H176,H176*Výpočty!$J$58+Q176)</f>
        <v>0</v>
      </c>
      <c r="AB176" s="32">
        <f t="shared" si="81"/>
        <v>0</v>
      </c>
      <c r="AC176" s="183"/>
      <c r="AD176" s="183"/>
      <c r="AE176" s="955"/>
      <c r="AF176" s="956"/>
      <c r="AG176" s="958"/>
      <c r="AH176" s="958"/>
      <c r="AK176" s="183"/>
      <c r="AL176" s="183"/>
      <c r="AM176" s="183"/>
      <c r="AN176" s="183"/>
    </row>
    <row r="177" spans="2:40" x14ac:dyDescent="0.25">
      <c r="B177" s="9" t="s">
        <v>49</v>
      </c>
      <c r="C177" s="10" t="s">
        <v>50</v>
      </c>
      <c r="D177" s="11" t="s">
        <v>10</v>
      </c>
      <c r="E177" s="49">
        <v>0</v>
      </c>
      <c r="F177" s="589">
        <f>IF(YEAR(Postup!$H$25)&gt;$D$144,Provozování!T42,IF(AND(DAY(Postup!$H$25)=31,MONTH(Postup!$H$25)=12,YEAR(Postup!$H$25)=$D$144),Provozování!T42,IF(YEAR(Postup!$H$25)=$D$144,Provozování!$BL42,0)))</f>
        <v>0</v>
      </c>
      <c r="G177" s="49">
        <v>0</v>
      </c>
      <c r="H177" s="590">
        <f>IF(YEAR(Postup!$H$25)&gt;$D$144,Provozování!U42,IF(AND(DAY(Postup!$H$25)=31,MONTH(Postup!$H$25)=12,YEAR(Postup!$H$25)=$D$144),Provozování!U42,IF(YEAR(Postup!$H$25)=$D$144,Provozování!$BM42,0)))</f>
        <v>0</v>
      </c>
      <c r="K177" s="9" t="s">
        <v>49</v>
      </c>
      <c r="L177" s="10" t="s">
        <v>50</v>
      </c>
      <c r="M177" s="11" t="s">
        <v>10</v>
      </c>
      <c r="N177" s="49">
        <v>0</v>
      </c>
      <c r="O177" s="444">
        <f>IF(Provozování!$V$16="Neaktivní",0,Provozování!V42)</f>
        <v>0</v>
      </c>
      <c r="P177" s="49">
        <v>0</v>
      </c>
      <c r="Q177" s="450">
        <f>IF(Provozování!$V$16="Neaktivní",0,Provozování!W42)</f>
        <v>0</v>
      </c>
      <c r="T177" s="9" t="s">
        <v>49</v>
      </c>
      <c r="U177" s="10" t="s">
        <v>50</v>
      </c>
      <c r="V177" s="11" t="s">
        <v>10</v>
      </c>
      <c r="W177" s="595">
        <v>0</v>
      </c>
      <c r="X177" s="49">
        <f>IF(Provozování!$V$16="Neaktivní",F177,F177*Výpočty!$J$58+O177)</f>
        <v>0</v>
      </c>
      <c r="Y177" s="49">
        <f t="shared" si="82"/>
        <v>0</v>
      </c>
      <c r="Z177" s="595">
        <v>0</v>
      </c>
      <c r="AA177" s="49">
        <f>IF(Provozování!$V$16="Neaktivní",H177,H177*Výpočty!$J$58+Q177)</f>
        <v>0</v>
      </c>
      <c r="AB177" s="32">
        <f t="shared" si="81"/>
        <v>0</v>
      </c>
      <c r="AC177" s="183"/>
      <c r="AD177" s="183"/>
      <c r="AE177" s="12" t="s">
        <v>405</v>
      </c>
      <c r="AF177" s="12" t="s">
        <v>408</v>
      </c>
      <c r="AG177" s="542">
        <f>Z205</f>
        <v>0</v>
      </c>
      <c r="AH177" s="542">
        <f ca="1">AB205</f>
        <v>31.268475300564855</v>
      </c>
      <c r="AK177" s="183"/>
      <c r="AL177" s="183"/>
      <c r="AM177" s="183"/>
      <c r="AN177" s="183"/>
    </row>
    <row r="178" spans="2:40" x14ac:dyDescent="0.25">
      <c r="B178" s="9" t="s">
        <v>51</v>
      </c>
      <c r="C178" s="10" t="s">
        <v>52</v>
      </c>
      <c r="D178" s="11" t="s">
        <v>10</v>
      </c>
      <c r="E178" s="49">
        <v>0</v>
      </c>
      <c r="F178" s="589">
        <f>IF(YEAR(Postup!$H$25)&gt;$D$144,Provozování!T43-Provozování!T97,IF(AND(DAY(Postup!$H$25)=31,MONTH(Postup!$H$25)=12,YEAR(Postup!$H$25)=$D$144),Provozování!T43-Provozování!T97,IF(YEAR(Postup!$H$25)=$D$144,Provozování!$BL43-Provozování!T97,0)))</f>
        <v>0</v>
      </c>
      <c r="G178" s="49">
        <v>0</v>
      </c>
      <c r="H178" s="590">
        <f ca="1">IF(YEAR(Postup!$H$25)&gt;$D$144,Provozování!U43-Provozování!U97,IF(AND(DAY(Postup!$H$25)=31,MONTH(Postup!$H$25)=12,YEAR(Postup!$H$25)=$D$144),Provozování!U43-Provozování!U97,IF(YEAR(Postup!$H$25)=$D$144,Provozování!$BM43-Provozování!U97,0)))</f>
        <v>0</v>
      </c>
      <c r="K178" s="9" t="s">
        <v>51</v>
      </c>
      <c r="L178" s="10" t="s">
        <v>52</v>
      </c>
      <c r="M178" s="11" t="s">
        <v>10</v>
      </c>
      <c r="N178" s="49">
        <v>0</v>
      </c>
      <c r="O178" s="444">
        <f>IF(Provozování!$V$16="Neaktivní",0,Provozování!V43-Provozování!T97*Výpočty!J53)</f>
        <v>0</v>
      </c>
      <c r="P178" s="49">
        <v>0</v>
      </c>
      <c r="Q178" s="450">
        <f>IF(Provozování!$V$16="Neaktivní",0,Provozování!W43-Provozování!U97*Výpočty!J53)</f>
        <v>0</v>
      </c>
      <c r="T178" s="9" t="s">
        <v>51</v>
      </c>
      <c r="U178" s="10" t="s">
        <v>52</v>
      </c>
      <c r="V178" s="11" t="s">
        <v>10</v>
      </c>
      <c r="W178" s="595">
        <v>0</v>
      </c>
      <c r="X178" s="49">
        <f>IF(Provozování!$V$16="Neaktivní",F178,F178*Výpočty!$J$58+O178)</f>
        <v>0</v>
      </c>
      <c r="Y178" s="49">
        <f>ABS(W178)-ABS(X178)</f>
        <v>0</v>
      </c>
      <c r="Z178" s="595">
        <v>0</v>
      </c>
      <c r="AA178" s="49">
        <f ca="1">IF(Provozování!$V$16="Neaktivní",H178,H178*Výpočty!$J$58+Q178)</f>
        <v>0</v>
      </c>
      <c r="AB178" s="32">
        <f ca="1">ABS(Z178)-ABS(AA178)</f>
        <v>0</v>
      </c>
      <c r="AC178" s="183"/>
      <c r="AD178" s="183"/>
      <c r="AE178" s="12" t="s">
        <v>406</v>
      </c>
      <c r="AF178" s="13" t="s">
        <v>410</v>
      </c>
      <c r="AG178" s="360">
        <f>Y204</f>
        <v>0</v>
      </c>
      <c r="AH178" s="360">
        <f>AA204</f>
        <v>0</v>
      </c>
      <c r="AK178" s="183"/>
      <c r="AL178" s="183"/>
      <c r="AM178" s="183"/>
      <c r="AN178" s="183"/>
    </row>
    <row r="179" spans="2:40" x14ac:dyDescent="0.25">
      <c r="B179" s="9" t="s">
        <v>53</v>
      </c>
      <c r="C179" s="10" t="s">
        <v>54</v>
      </c>
      <c r="D179" s="11" t="s">
        <v>10</v>
      </c>
      <c r="E179" s="49">
        <v>0</v>
      </c>
      <c r="F179" s="589">
        <f>IF(YEAR(Postup!$H$25)&gt;$D$144,Provozování!T44,IF(AND(DAY(Postup!$H$25)=31,MONTH(Postup!$H$25)=12,YEAR(Postup!$H$25)=$D$144),Provozování!T44,IF(YEAR(Postup!$H$25)=$D$144,Provozování!$BL44,0)))</f>
        <v>0</v>
      </c>
      <c r="G179" s="49">
        <v>0</v>
      </c>
      <c r="H179" s="590">
        <f>IF(YEAR(Postup!$H$25)&gt;$D$144,Provozování!U44,IF(AND(DAY(Postup!$H$25)=31,MONTH(Postup!$H$25)=12,YEAR(Postup!$H$25)=$D$144),Provozování!U44,IF(YEAR(Postup!$H$25)=$D$144,Provozování!$BM44,0)))</f>
        <v>0</v>
      </c>
      <c r="K179" s="9" t="s">
        <v>53</v>
      </c>
      <c r="L179" s="10" t="s">
        <v>54</v>
      </c>
      <c r="M179" s="11" t="s">
        <v>10</v>
      </c>
      <c r="N179" s="49">
        <v>0</v>
      </c>
      <c r="O179" s="444">
        <f>IF(Provozování!$V$16="Neaktivní",0,Provozování!V44)</f>
        <v>0</v>
      </c>
      <c r="P179" s="49">
        <v>0</v>
      </c>
      <c r="Q179" s="443">
        <f>IF(Provozování!$V$16="Neaktivní",0,Provozování!W44)</f>
        <v>0</v>
      </c>
      <c r="T179" s="9" t="s">
        <v>53</v>
      </c>
      <c r="U179" s="10" t="s">
        <v>54</v>
      </c>
      <c r="V179" s="11" t="s">
        <v>10</v>
      </c>
      <c r="W179" s="595">
        <v>0</v>
      </c>
      <c r="X179" s="49">
        <f>IF(Provozování!$V$16="Neaktivní",F179,F179*Výpočty!$J$58+O179)</f>
        <v>0</v>
      </c>
      <c r="Y179" s="49">
        <f t="shared" ref="Y179:Y180" si="83">W179-X179</f>
        <v>0</v>
      </c>
      <c r="Z179" s="595">
        <v>0</v>
      </c>
      <c r="AA179" s="49">
        <f>IF(Provozování!$V$16="Neaktivní",H179,H179*Výpočty!$J$58+Q179)</f>
        <v>0</v>
      </c>
      <c r="AB179" s="32">
        <f t="shared" ref="AB179:AB180" si="84">Z179-AA179</f>
        <v>0</v>
      </c>
      <c r="AC179" s="183"/>
      <c r="AD179" s="183"/>
      <c r="AE179" s="12" t="s">
        <v>407</v>
      </c>
      <c r="AF179" s="13" t="s">
        <v>409</v>
      </c>
      <c r="AG179" s="360">
        <f>Z204</f>
        <v>0</v>
      </c>
      <c r="AH179" s="360">
        <f>AB204</f>
        <v>1.4E-2</v>
      </c>
      <c r="AK179" s="183"/>
      <c r="AL179" s="183"/>
      <c r="AM179" s="183"/>
      <c r="AN179" s="183"/>
    </row>
    <row r="180" spans="2:40" x14ac:dyDescent="0.25">
      <c r="B180" s="9" t="s">
        <v>55</v>
      </c>
      <c r="C180" s="10" t="s">
        <v>56</v>
      </c>
      <c r="D180" s="11" t="s">
        <v>10</v>
      </c>
      <c r="E180" s="49">
        <v>0</v>
      </c>
      <c r="F180" s="589">
        <f>IF(YEAR(Postup!$H$25)&gt;$D$144,Provozování!T45,IF(AND(DAY(Postup!$H$25)=31,MONTH(Postup!$H$25)=12,YEAR(Postup!$H$25)=$D$144),Provozování!T45,IF(YEAR(Postup!$H$25)=$D$144,Provozování!$BL45,0)))</f>
        <v>0</v>
      </c>
      <c r="G180" s="49">
        <v>0</v>
      </c>
      <c r="H180" s="590">
        <f>IF(YEAR(Postup!$H$25)&gt;$D$144,Provozování!U45,IF(AND(DAY(Postup!$H$25)=31,MONTH(Postup!$H$25)=12,YEAR(Postup!$H$25)=$D$144),Provozování!U45,IF(YEAR(Postup!$H$25)=$D$144,Provozování!$BM45,0)))</f>
        <v>0</v>
      </c>
      <c r="K180" s="9" t="s">
        <v>55</v>
      </c>
      <c r="L180" s="10" t="s">
        <v>56</v>
      </c>
      <c r="M180" s="11" t="s">
        <v>10</v>
      </c>
      <c r="N180" s="49">
        <v>0</v>
      </c>
      <c r="O180" s="444">
        <f>IF(Provozování!$V$16="Neaktivní",0,Provozování!V45)</f>
        <v>0</v>
      </c>
      <c r="P180" s="49">
        <v>0</v>
      </c>
      <c r="Q180" s="443">
        <f>IF(Provozování!$V$16="Neaktivní",0,Provozování!W45)</f>
        <v>0</v>
      </c>
      <c r="T180" s="9" t="s">
        <v>55</v>
      </c>
      <c r="U180" s="10" t="s">
        <v>56</v>
      </c>
      <c r="V180" s="11" t="s">
        <v>10</v>
      </c>
      <c r="W180" s="595">
        <v>0</v>
      </c>
      <c r="X180" s="49">
        <f>IF(Provozování!$V$16="Neaktivní",F180,F180*Výpočty!$J$58+O180)</f>
        <v>0</v>
      </c>
      <c r="Y180" s="49">
        <f t="shared" si="83"/>
        <v>0</v>
      </c>
      <c r="Z180" s="595">
        <v>0</v>
      </c>
      <c r="AA180" s="49">
        <f>IF(Provozování!$V$16="Neaktivní",H180,H180*Výpočty!$J$58+Q180)</f>
        <v>0</v>
      </c>
      <c r="AB180" s="32">
        <f t="shared" si="84"/>
        <v>0</v>
      </c>
      <c r="AC180" s="183"/>
      <c r="AD180" s="183"/>
      <c r="AE180" s="12" t="s">
        <v>411</v>
      </c>
      <c r="AF180" s="12" t="s">
        <v>419</v>
      </c>
      <c r="AG180" s="360">
        <f>X181-X171</f>
        <v>0</v>
      </c>
      <c r="AH180" s="360">
        <f ca="1">AA181-AA171</f>
        <v>0.28999999999999998</v>
      </c>
      <c r="AK180" s="183"/>
      <c r="AL180" s="183"/>
      <c r="AM180" s="183"/>
      <c r="AN180" s="183"/>
    </row>
    <row r="181" spans="2:40" x14ac:dyDescent="0.25">
      <c r="B181" s="9" t="s">
        <v>57</v>
      </c>
      <c r="C181" s="10" t="s">
        <v>58</v>
      </c>
      <c r="D181" s="11" t="s">
        <v>10</v>
      </c>
      <c r="E181" s="46">
        <f>E157+E162+E165+E168+E173+E177+E178+E179+E180</f>
        <v>0</v>
      </c>
      <c r="F181" s="46">
        <f>F157+F162+F165+F168+F173+F177+F178+F179+F180</f>
        <v>0</v>
      </c>
      <c r="G181" s="46">
        <f>G157+G162+G165+G168+G173+G177+G178+G179+G180</f>
        <v>0</v>
      </c>
      <c r="H181" s="98">
        <f ca="1">H157+H162+H165+H168+H173+H177+H178+H179+H180</f>
        <v>0.43</v>
      </c>
      <c r="K181" s="9" t="s">
        <v>57</v>
      </c>
      <c r="L181" s="10" t="s">
        <v>58</v>
      </c>
      <c r="M181" s="11" t="s">
        <v>10</v>
      </c>
      <c r="N181" s="46">
        <f>N157+N162+N165+N168+N173+N177+N178+N179+N180</f>
        <v>0</v>
      </c>
      <c r="O181" s="46">
        <f>O157+O162+O165+O168+O173+O177+O178+O179+O180</f>
        <v>0</v>
      </c>
      <c r="P181" s="46">
        <f>P157+P162+P165+P168+P173+P177+P178+P179+P180</f>
        <v>0</v>
      </c>
      <c r="Q181" s="98">
        <f>Q157+Q162+Q165+Q168+Q173+Q177+Q178+Q179+Q180</f>
        <v>0</v>
      </c>
      <c r="T181" s="9" t="s">
        <v>57</v>
      </c>
      <c r="U181" s="10" t="s">
        <v>58</v>
      </c>
      <c r="V181" s="11" t="s">
        <v>10</v>
      </c>
      <c r="W181" s="46">
        <f t="shared" ref="W181:AB181" si="85">W157+W162+W165+W168+W173+W177+W178+W179+W180</f>
        <v>0</v>
      </c>
      <c r="X181" s="46">
        <f t="shared" si="85"/>
        <v>0</v>
      </c>
      <c r="Y181" s="46">
        <f t="shared" si="85"/>
        <v>0</v>
      </c>
      <c r="Z181" s="46">
        <f t="shared" si="85"/>
        <v>0</v>
      </c>
      <c r="AA181" s="46">
        <f t="shared" ca="1" si="85"/>
        <v>0.43</v>
      </c>
      <c r="AB181" s="98">
        <f t="shared" ca="1" si="85"/>
        <v>-0.43</v>
      </c>
      <c r="AC181" s="183"/>
      <c r="AD181" s="183"/>
      <c r="AE181" s="12" t="s">
        <v>412</v>
      </c>
      <c r="AF181" s="12" t="s">
        <v>418</v>
      </c>
      <c r="AG181" s="360">
        <f>W181-W171</f>
        <v>0</v>
      </c>
      <c r="AH181" s="360">
        <f>Z181-Z171</f>
        <v>0</v>
      </c>
      <c r="AK181" s="183"/>
      <c r="AL181" s="183"/>
      <c r="AM181" s="183"/>
      <c r="AN181" s="183"/>
    </row>
    <row r="182" spans="2:40" x14ac:dyDescent="0.25">
      <c r="B182" s="12" t="s">
        <v>59</v>
      </c>
      <c r="C182" s="13" t="s">
        <v>112</v>
      </c>
      <c r="D182" s="3" t="s">
        <v>10</v>
      </c>
      <c r="E182" s="437">
        <v>0</v>
      </c>
      <c r="F182" s="591">
        <f>F112</f>
        <v>0</v>
      </c>
      <c r="G182" s="437">
        <v>0</v>
      </c>
      <c r="H182" s="593">
        <f>H112</f>
        <v>0</v>
      </c>
      <c r="K182" s="12" t="s">
        <v>59</v>
      </c>
      <c r="L182" s="13" t="s">
        <v>112</v>
      </c>
      <c r="M182" s="3" t="s">
        <v>10</v>
      </c>
      <c r="N182" s="437">
        <v>0</v>
      </c>
      <c r="O182" s="437">
        <f>IF(Provozování!$V$16="Neaktivní",0,F182)</f>
        <v>0</v>
      </c>
      <c r="P182" s="437">
        <v>0</v>
      </c>
      <c r="Q182" s="438">
        <f>IF(Provozování!$V$16="Neaktivní",0,H182)</f>
        <v>0</v>
      </c>
      <c r="T182" s="47" t="s">
        <v>59</v>
      </c>
      <c r="U182" s="13" t="s">
        <v>112</v>
      </c>
      <c r="V182" s="3" t="s">
        <v>10</v>
      </c>
      <c r="W182" s="591">
        <v>0</v>
      </c>
      <c r="X182" s="437">
        <f>F182</f>
        <v>0</v>
      </c>
      <c r="Y182" s="437">
        <f>W182-X182</f>
        <v>0</v>
      </c>
      <c r="Z182" s="591">
        <v>0</v>
      </c>
      <c r="AA182" s="437">
        <f>H182</f>
        <v>0</v>
      </c>
      <c r="AB182" s="438">
        <f>Z182-AA182</f>
        <v>0</v>
      </c>
      <c r="AC182" s="183"/>
      <c r="AD182" s="183"/>
      <c r="AE182" s="12" t="s">
        <v>430</v>
      </c>
      <c r="AF182" s="12" t="s">
        <v>431</v>
      </c>
      <c r="AG182" s="360">
        <f>Provozování!T$97</f>
        <v>0</v>
      </c>
      <c r="AH182" s="360">
        <f ca="1">Provozování!U$97</f>
        <v>0</v>
      </c>
      <c r="AK182" s="183"/>
      <c r="AL182" s="183"/>
      <c r="AM182" s="183"/>
      <c r="AN182" s="183"/>
    </row>
    <row r="183" spans="2:40" x14ac:dyDescent="0.25">
      <c r="B183" s="12" t="s">
        <v>60</v>
      </c>
      <c r="C183" s="13" t="s">
        <v>113</v>
      </c>
      <c r="D183" s="3" t="s">
        <v>10</v>
      </c>
      <c r="E183" s="437">
        <v>0</v>
      </c>
      <c r="F183" s="591">
        <f>F113</f>
        <v>0</v>
      </c>
      <c r="G183" s="437">
        <v>0</v>
      </c>
      <c r="H183" s="593">
        <f>H113</f>
        <v>0</v>
      </c>
      <c r="K183" s="12" t="s">
        <v>60</v>
      </c>
      <c r="L183" s="13" t="s">
        <v>113</v>
      </c>
      <c r="M183" s="3" t="s">
        <v>10</v>
      </c>
      <c r="N183" s="437">
        <v>0</v>
      </c>
      <c r="O183" s="437">
        <f>IF(Provozování!$V$16="Neaktivní",0,F183)</f>
        <v>0</v>
      </c>
      <c r="P183" s="437">
        <v>0</v>
      </c>
      <c r="Q183" s="438">
        <f>IF(Provozování!$V$16="Neaktivní",0,H183)</f>
        <v>0</v>
      </c>
      <c r="T183" s="12" t="s">
        <v>60</v>
      </c>
      <c r="U183" s="13" t="s">
        <v>113</v>
      </c>
      <c r="V183" s="3" t="s">
        <v>10</v>
      </c>
      <c r="W183" s="591">
        <v>0</v>
      </c>
      <c r="X183" s="437">
        <f>F183</f>
        <v>0</v>
      </c>
      <c r="Y183" s="437">
        <f>W183-X183</f>
        <v>0</v>
      </c>
      <c r="Z183" s="591">
        <v>0</v>
      </c>
      <c r="AA183" s="437">
        <f>H183</f>
        <v>0</v>
      </c>
      <c r="AB183" s="438">
        <f>Z183-AA183</f>
        <v>0</v>
      </c>
      <c r="AC183" s="183"/>
      <c r="AD183" s="183"/>
      <c r="AE183" s="554" t="s">
        <v>434</v>
      </c>
      <c r="AF183" s="555"/>
      <c r="AG183" s="959">
        <f>(AG177*AG178-AG177*AG179)+(AG180-AG181)-AG182</f>
        <v>0</v>
      </c>
      <c r="AH183" s="959">
        <f ca="1">(AH177*AH178-AH177*AH179)+(AH180-AH181)-AH182</f>
        <v>-0.14775865420790801</v>
      </c>
      <c r="AK183" s="183"/>
      <c r="AL183" s="183"/>
      <c r="AM183" s="183"/>
      <c r="AN183" s="183"/>
    </row>
    <row r="184" spans="2:40" x14ac:dyDescent="0.25">
      <c r="B184" s="12" t="s">
        <v>61</v>
      </c>
      <c r="C184" s="13" t="s">
        <v>62</v>
      </c>
      <c r="D184" s="3" t="s">
        <v>63</v>
      </c>
      <c r="E184" s="439">
        <v>0</v>
      </c>
      <c r="F184" s="592">
        <f>F114</f>
        <v>0</v>
      </c>
      <c r="G184" s="439">
        <v>0</v>
      </c>
      <c r="H184" s="592">
        <f>H114</f>
        <v>0</v>
      </c>
      <c r="K184" s="12" t="s">
        <v>61</v>
      </c>
      <c r="L184" s="13" t="s">
        <v>62</v>
      </c>
      <c r="M184" s="3" t="s">
        <v>63</v>
      </c>
      <c r="N184" s="439">
        <v>0</v>
      </c>
      <c r="O184" s="439">
        <f>IF(Provozování!$V$16="Neaktivní",0,F184)</f>
        <v>0</v>
      </c>
      <c r="P184" s="439">
        <v>0</v>
      </c>
      <c r="Q184" s="440">
        <f>IF(Provozování!$V$16="Neaktivní",0,H184)</f>
        <v>0</v>
      </c>
      <c r="T184" s="12" t="s">
        <v>61</v>
      </c>
      <c r="U184" s="13" t="s">
        <v>62</v>
      </c>
      <c r="V184" s="3" t="s">
        <v>63</v>
      </c>
      <c r="W184" s="599">
        <v>0</v>
      </c>
      <c r="X184" s="439">
        <f>F184</f>
        <v>0</v>
      </c>
      <c r="Y184" s="440">
        <f>W184-X184</f>
        <v>0</v>
      </c>
      <c r="Z184" s="599">
        <v>0</v>
      </c>
      <c r="AA184" s="439">
        <f>H184</f>
        <v>0</v>
      </c>
      <c r="AB184" s="440">
        <f>Z184-AA184</f>
        <v>0</v>
      </c>
      <c r="AC184" s="183"/>
      <c r="AD184" s="183"/>
      <c r="AE184" s="544" t="s">
        <v>432</v>
      </c>
      <c r="AF184" s="543"/>
      <c r="AG184" s="960"/>
      <c r="AH184" s="960"/>
      <c r="AK184" s="183"/>
      <c r="AL184" s="183"/>
      <c r="AM184" s="183"/>
      <c r="AN184" s="183"/>
    </row>
    <row r="185" spans="2:40" x14ac:dyDescent="0.25">
      <c r="B185" s="12" t="s">
        <v>64</v>
      </c>
      <c r="C185" s="13" t="s">
        <v>65</v>
      </c>
      <c r="D185" s="3" t="s">
        <v>66</v>
      </c>
      <c r="E185" s="49">
        <v>0</v>
      </c>
      <c r="F185" s="49">
        <f>IF(YEAR(Postup!$H$25)&gt;$D$144,Provozování!T47,IF(AND(DAY(Postup!$H$25)=31,MONTH(Postup!$H$25)=12,YEAR(Postup!$H$25)=$D$144),Provozování!T47,IF(YEAR(Postup!$H$25)=$D$144,Provozování!$BL47,0)))</f>
        <v>0</v>
      </c>
      <c r="G185" s="49">
        <v>0</v>
      </c>
      <c r="H185" s="442">
        <v>0</v>
      </c>
      <c r="K185" s="12" t="s">
        <v>64</v>
      </c>
      <c r="L185" s="13" t="s">
        <v>65</v>
      </c>
      <c r="M185" s="3" t="s">
        <v>66</v>
      </c>
      <c r="N185" s="49">
        <v>0</v>
      </c>
      <c r="O185" s="49">
        <f>IF(Provozování!$V$16="Neaktivní",0,Provozování!V47)</f>
        <v>0</v>
      </c>
      <c r="P185" s="49">
        <v>0</v>
      </c>
      <c r="Q185" s="442">
        <v>0</v>
      </c>
      <c r="T185" s="12" t="s">
        <v>64</v>
      </c>
      <c r="U185" s="13" t="s">
        <v>65</v>
      </c>
      <c r="V185" s="3" t="s">
        <v>66</v>
      </c>
      <c r="W185" s="595">
        <v>0</v>
      </c>
      <c r="X185" s="49">
        <f>IF(Provozování!$V$16="Neaktivní",F185,F185*Výpočty!$J$58+O185)</f>
        <v>0</v>
      </c>
      <c r="Y185" s="49">
        <f>W185-X185</f>
        <v>0</v>
      </c>
      <c r="Z185" s="445">
        <v>0</v>
      </c>
      <c r="AA185" s="445">
        <v>0</v>
      </c>
      <c r="AB185" s="442">
        <v>0</v>
      </c>
      <c r="AC185" s="183"/>
      <c r="AD185" s="183"/>
      <c r="AE185" s="963" t="s">
        <v>416</v>
      </c>
      <c r="AF185" s="964"/>
      <c r="AG185" s="957" t="str">
        <f>IF(AG183&gt;0,"úspora",IF(AG183&lt;0,"ztráta provozovatele","-"))</f>
        <v>-</v>
      </c>
      <c r="AH185" s="957" t="str">
        <f ca="1">IF(AH183&gt;0,"úspora",IF(AH183&lt;0,"ztráta provozovatele","-"))</f>
        <v>ztráta provozovatele</v>
      </c>
      <c r="AK185" s="183"/>
      <c r="AL185" s="183"/>
      <c r="AM185" s="183"/>
      <c r="AN185" s="183"/>
    </row>
    <row r="186" spans="2:40" x14ac:dyDescent="0.25">
      <c r="B186" s="12" t="s">
        <v>67</v>
      </c>
      <c r="C186" s="13" t="s">
        <v>68</v>
      </c>
      <c r="D186" s="3" t="s">
        <v>66</v>
      </c>
      <c r="E186" s="49">
        <v>0</v>
      </c>
      <c r="F186" s="49">
        <f>IF(YEAR(Postup!$H$25)&gt;$D$144,Provozování!T48,IF(AND(DAY(Postup!$H$25)=31,MONTH(Postup!$H$25)=12,YEAR(Postup!$H$25)=$D$144),Provozování!T48,IF(YEAR(Postup!$H$25)=$D$144,Provozování!$BL48,0)))</f>
        <v>0</v>
      </c>
      <c r="G186" s="49">
        <v>0</v>
      </c>
      <c r="H186" s="442">
        <v>0</v>
      </c>
      <c r="K186" s="12" t="s">
        <v>67</v>
      </c>
      <c r="L186" s="13" t="s">
        <v>68</v>
      </c>
      <c r="M186" s="3" t="s">
        <v>66</v>
      </c>
      <c r="N186" s="49">
        <v>0</v>
      </c>
      <c r="O186" s="49">
        <f>IF(Provozování!$V$16="Neaktivní",0,Provozování!V48)</f>
        <v>0</v>
      </c>
      <c r="P186" s="49">
        <v>0</v>
      </c>
      <c r="Q186" s="442">
        <v>0</v>
      </c>
      <c r="T186" s="12" t="s">
        <v>67</v>
      </c>
      <c r="U186" s="13" t="s">
        <v>68</v>
      </c>
      <c r="V186" s="3" t="s">
        <v>66</v>
      </c>
      <c r="W186" s="595">
        <v>0</v>
      </c>
      <c r="X186" s="49">
        <f>IF(Provozování!$V$16="Neaktivní",F186,F186*Výpočty!$J$58+O186)</f>
        <v>0</v>
      </c>
      <c r="Y186" s="49">
        <f>W186-X186</f>
        <v>0</v>
      </c>
      <c r="Z186" s="445">
        <v>0</v>
      </c>
      <c r="AA186" s="445">
        <v>0</v>
      </c>
      <c r="AB186" s="442">
        <v>0</v>
      </c>
      <c r="AC186" s="183"/>
      <c r="AD186" s="183"/>
      <c r="AE186" s="965"/>
      <c r="AF186" s="966"/>
      <c r="AG186" s="958"/>
      <c r="AH186" s="958"/>
      <c r="AK186" s="183"/>
      <c r="AL186" s="183"/>
      <c r="AM186" s="183"/>
      <c r="AN186" s="183"/>
    </row>
    <row r="187" spans="2:40" x14ac:dyDescent="0.25">
      <c r="B187" s="12" t="s">
        <v>69</v>
      </c>
      <c r="C187" s="13" t="s">
        <v>70</v>
      </c>
      <c r="D187" s="3" t="s">
        <v>66</v>
      </c>
      <c r="E187" s="49">
        <v>0</v>
      </c>
      <c r="F187" s="445">
        <v>0</v>
      </c>
      <c r="G187" s="49">
        <v>0</v>
      </c>
      <c r="H187" s="32">
        <f>IF(YEAR(Postup!$H$25)&gt;$D$144,Provozování!U49,IF(AND(DAY(Postup!$H$25)=31,MONTH(Postup!$H$25)=12,YEAR(Postup!$H$25)=$D$144),Provozování!U49,IF(YEAR(Postup!$H$25)=$D$144,Provozování!$BM49,0)))</f>
        <v>1.4E-2</v>
      </c>
      <c r="K187" s="12" t="s">
        <v>69</v>
      </c>
      <c r="L187" s="13" t="s">
        <v>70</v>
      </c>
      <c r="M187" s="3" t="s">
        <v>66</v>
      </c>
      <c r="N187" s="49">
        <v>0</v>
      </c>
      <c r="O187" s="445">
        <v>0</v>
      </c>
      <c r="P187" s="49">
        <v>0</v>
      </c>
      <c r="Q187" s="59">
        <f>IF(Provozování!$V$16="Neaktivní",0,Provozování!W49)</f>
        <v>0</v>
      </c>
      <c r="T187" s="12" t="s">
        <v>69</v>
      </c>
      <c r="U187" s="13" t="s">
        <v>70</v>
      </c>
      <c r="V187" s="3" t="s">
        <v>66</v>
      </c>
      <c r="W187" s="445">
        <v>0</v>
      </c>
      <c r="X187" s="445">
        <v>0</v>
      </c>
      <c r="Y187" s="445">
        <v>0</v>
      </c>
      <c r="Z187" s="595">
        <v>0</v>
      </c>
      <c r="AA187" s="49">
        <f>IF(Provozování!$V$16="Neaktivní",H187,H187*Výpočty!$J$58+Q187)</f>
        <v>1.4E-2</v>
      </c>
      <c r="AB187" s="32">
        <f t="shared" ref="AB187:AB192" si="86">Z187-AA187</f>
        <v>-1.4E-2</v>
      </c>
      <c r="AC187" s="183"/>
      <c r="AD187" s="183"/>
      <c r="AE187" s="533" t="s">
        <v>422</v>
      </c>
      <c r="AF187" s="533"/>
      <c r="AG187" s="453">
        <f>IF(AG183&gt;0,AG183/AG180,0)</f>
        <v>0</v>
      </c>
      <c r="AH187" s="453">
        <f ca="1">IF(AH183&gt;0,AH183/AH180,0)</f>
        <v>0</v>
      </c>
      <c r="AK187" s="183"/>
      <c r="AL187" s="183"/>
      <c r="AM187" s="183"/>
      <c r="AN187" s="183"/>
    </row>
    <row r="188" spans="2:40" x14ac:dyDescent="0.25">
      <c r="B188" s="12" t="s">
        <v>71</v>
      </c>
      <c r="C188" s="13" t="s">
        <v>68</v>
      </c>
      <c r="D188" s="3" t="s">
        <v>66</v>
      </c>
      <c r="E188" s="49">
        <v>0</v>
      </c>
      <c r="F188" s="445">
        <v>0</v>
      </c>
      <c r="G188" s="49">
        <v>0</v>
      </c>
      <c r="H188" s="32">
        <f>IF(YEAR(Postup!$H$25)&gt;$D$144,Provozování!U50,IF(AND(DAY(Postup!$H$25)=31,MONTH(Postup!$H$25)=12,YEAR(Postup!$H$25)=$D$144),Provozování!U50,IF(YEAR(Postup!$H$25)=$D$144,Provozování!$BM50,0)))</f>
        <v>7.4190000000000002E-3</v>
      </c>
      <c r="K188" s="12" t="s">
        <v>71</v>
      </c>
      <c r="L188" s="13" t="s">
        <v>68</v>
      </c>
      <c r="M188" s="3" t="s">
        <v>66</v>
      </c>
      <c r="N188" s="49">
        <v>0</v>
      </c>
      <c r="O188" s="445">
        <v>0</v>
      </c>
      <c r="P188" s="49">
        <v>0</v>
      </c>
      <c r="Q188" s="59">
        <f>IF(Provozování!$V$16="Neaktivní",0,Provozování!W50)</f>
        <v>0</v>
      </c>
      <c r="T188" s="12" t="s">
        <v>71</v>
      </c>
      <c r="U188" s="13" t="s">
        <v>68</v>
      </c>
      <c r="V188" s="3" t="s">
        <v>66</v>
      </c>
      <c r="W188" s="445">
        <v>0</v>
      </c>
      <c r="X188" s="445">
        <v>0</v>
      </c>
      <c r="Y188" s="445">
        <v>0</v>
      </c>
      <c r="Z188" s="595">
        <v>0</v>
      </c>
      <c r="AA188" s="49">
        <f>IF(Provozování!$V$16="Neaktivní",H188,H188*Výpočty!$J$58+Q188)</f>
        <v>7.4190000000000002E-3</v>
      </c>
      <c r="AB188" s="32">
        <f t="shared" si="86"/>
        <v>-7.4190000000000002E-3</v>
      </c>
      <c r="AC188" s="183"/>
      <c r="AD188" s="183"/>
      <c r="AE188" s="556" t="s">
        <v>402</v>
      </c>
      <c r="AF188" s="556"/>
      <c r="AG188" s="961">
        <f>IF(AG187&gt;0,AG180*AI189*0.5,0)</f>
        <v>0</v>
      </c>
      <c r="AH188" s="961">
        <f ca="1">IF(AH187&gt;0,AH180*AJ189*0.5,0)</f>
        <v>0</v>
      </c>
      <c r="AK188" s="183"/>
      <c r="AL188" s="183"/>
      <c r="AM188" s="183"/>
      <c r="AN188" s="183"/>
    </row>
    <row r="189" spans="2:40" x14ac:dyDescent="0.25">
      <c r="B189" s="12" t="s">
        <v>72</v>
      </c>
      <c r="C189" s="13" t="s">
        <v>73</v>
      </c>
      <c r="D189" s="3" t="s">
        <v>66</v>
      </c>
      <c r="E189" s="49">
        <v>0</v>
      </c>
      <c r="F189" s="445">
        <v>0</v>
      </c>
      <c r="G189" s="49">
        <v>0</v>
      </c>
      <c r="H189" s="32">
        <f>IF(YEAR(Postup!$H$25)&gt;$D$144,Provozování!U51,IF(AND(DAY(Postup!$H$25)=31,MONTH(Postup!$H$25)=12,YEAR(Postup!$H$25)=$D$144),Provozování!U51,IF(YEAR(Postup!$H$25)=$D$144,Provozování!$BM51,0)))</f>
        <v>0</v>
      </c>
      <c r="K189" s="12" t="s">
        <v>72</v>
      </c>
      <c r="L189" s="13" t="s">
        <v>73</v>
      </c>
      <c r="M189" s="3" t="s">
        <v>66</v>
      </c>
      <c r="N189" s="49">
        <v>0</v>
      </c>
      <c r="O189" s="445">
        <v>0</v>
      </c>
      <c r="P189" s="49">
        <v>0</v>
      </c>
      <c r="Q189" s="59">
        <f>IF(Provozování!$V$16="Neaktivní",0,Provozování!W51)</f>
        <v>0</v>
      </c>
      <c r="T189" s="12" t="s">
        <v>72</v>
      </c>
      <c r="U189" s="13" t="s">
        <v>73</v>
      </c>
      <c r="V189" s="3" t="s">
        <v>66</v>
      </c>
      <c r="W189" s="445">
        <v>0</v>
      </c>
      <c r="X189" s="445">
        <v>0</v>
      </c>
      <c r="Y189" s="445">
        <v>0</v>
      </c>
      <c r="Z189" s="595">
        <v>0</v>
      </c>
      <c r="AA189" s="49">
        <f>IF(Provozování!$V$16="Neaktivní",H189,H189*Výpočty!$J$58+Q189)</f>
        <v>0</v>
      </c>
      <c r="AB189" s="32">
        <f t="shared" si="86"/>
        <v>0</v>
      </c>
      <c r="AC189" s="183"/>
      <c r="AD189" s="183"/>
      <c r="AE189" s="557" t="s">
        <v>413</v>
      </c>
      <c r="AF189" s="557"/>
      <c r="AG189" s="962"/>
      <c r="AH189" s="962"/>
      <c r="AI189" s="454">
        <f>IF(AG187&gt;0.05,0.05,AG187)</f>
        <v>0</v>
      </c>
      <c r="AJ189" s="454">
        <f ca="1">IF(AH187&gt;0.05,0.05,AH187)</f>
        <v>0</v>
      </c>
      <c r="AK189" s="183"/>
      <c r="AL189" s="183"/>
      <c r="AM189" s="183"/>
      <c r="AN189" s="183"/>
    </row>
    <row r="190" spans="2:40" x14ac:dyDescent="0.25">
      <c r="B190" s="12" t="s">
        <v>74</v>
      </c>
      <c r="C190" s="13" t="s">
        <v>75</v>
      </c>
      <c r="D190" s="3" t="s">
        <v>66</v>
      </c>
      <c r="E190" s="49">
        <v>0</v>
      </c>
      <c r="F190" s="445">
        <v>0</v>
      </c>
      <c r="G190" s="49">
        <v>0</v>
      </c>
      <c r="H190" s="32">
        <f>IF(YEAR(Postup!$H$25)&gt;$D$144,Provozování!U52,IF(AND(DAY(Postup!$H$25)=31,MONTH(Postup!$H$25)=12,YEAR(Postup!$H$25)=$D$144),Provozování!U52,IF(YEAR(Postup!$H$25)=$D$144,Provozování!$BM52,0)))</f>
        <v>0</v>
      </c>
      <c r="K190" s="12" t="s">
        <v>74</v>
      </c>
      <c r="L190" s="13" t="s">
        <v>75</v>
      </c>
      <c r="M190" s="3" t="s">
        <v>66</v>
      </c>
      <c r="N190" s="49">
        <v>0</v>
      </c>
      <c r="O190" s="445">
        <v>0</v>
      </c>
      <c r="P190" s="49">
        <v>0</v>
      </c>
      <c r="Q190" s="59">
        <f>IF(Provozování!$V$16="Neaktivní",0,Provozování!W52)</f>
        <v>0</v>
      </c>
      <c r="T190" s="12" t="s">
        <v>74</v>
      </c>
      <c r="U190" s="13" t="s">
        <v>75</v>
      </c>
      <c r="V190" s="3" t="s">
        <v>66</v>
      </c>
      <c r="W190" s="445">
        <v>0</v>
      </c>
      <c r="X190" s="445">
        <v>0</v>
      </c>
      <c r="Y190" s="445">
        <v>0</v>
      </c>
      <c r="Z190" s="595">
        <v>0</v>
      </c>
      <c r="AA190" s="49">
        <f>IF(Provozování!$V$16="Neaktivní",H190,H190*Výpočty!$J$58+Q190)</f>
        <v>0</v>
      </c>
      <c r="AB190" s="32">
        <f t="shared" si="86"/>
        <v>0</v>
      </c>
      <c r="AC190" s="183"/>
      <c r="AD190" s="183"/>
      <c r="AE190" s="534" t="s">
        <v>414</v>
      </c>
      <c r="AF190" s="534"/>
      <c r="AG190" s="360">
        <f>IF(AI190&gt;0,AG180*(AI190-0.05)*0.8,0)</f>
        <v>0</v>
      </c>
      <c r="AH190" s="360">
        <f ca="1">IF(AJ190&gt;0,AH180*(AJ190-0.05)*0.8,0)</f>
        <v>0</v>
      </c>
      <c r="AI190" s="454">
        <f>IF(AND(AG187&gt;0.05,AG187&lt;=0.1),AG187,IF(AG187&lt;=0.05,0,0.1))</f>
        <v>0</v>
      </c>
      <c r="AJ190" s="454">
        <f ca="1">IF(AND(AH187&gt;0.05,AH187&lt;=0.1),AH187,IF(AH187&lt;=0.05,0,0.1))</f>
        <v>0</v>
      </c>
      <c r="AK190" s="183"/>
      <c r="AL190" s="183"/>
      <c r="AM190" s="183"/>
      <c r="AN190" s="183"/>
    </row>
    <row r="191" spans="2:40" x14ac:dyDescent="0.25">
      <c r="B191" s="12" t="s">
        <v>76</v>
      </c>
      <c r="C191" s="13" t="s">
        <v>77</v>
      </c>
      <c r="D191" s="3" t="s">
        <v>66</v>
      </c>
      <c r="E191" s="49">
        <v>0</v>
      </c>
      <c r="F191" s="49">
        <f>IF(YEAR(Postup!$H$25)&gt;$D$144,Provozování!T53,IF(AND(DAY(Postup!$H$25)=31,MONTH(Postup!$H$25)=12,YEAR(Postup!$H$25)=$D$144),Provozování!T53,IF(YEAR(Postup!$H$25)=$D$144,Provozování!$BL53,0)))</f>
        <v>0</v>
      </c>
      <c r="G191" s="49">
        <v>0</v>
      </c>
      <c r="H191" s="32">
        <f>IF(YEAR(Postup!$H$25)&gt;$D$144,Provozování!U53,IF(AND(DAY(Postup!$H$25)=31,MONTH(Postup!$H$25)=12,YEAR(Postup!$H$25)=$D$144),Provozování!U53,IF(YEAR(Postup!$H$25)=$D$144,Provozování!$BM53,0)))</f>
        <v>0</v>
      </c>
      <c r="K191" s="12" t="s">
        <v>76</v>
      </c>
      <c r="L191" s="13" t="s">
        <v>77</v>
      </c>
      <c r="M191" s="3" t="s">
        <v>66</v>
      </c>
      <c r="N191" s="49">
        <v>0</v>
      </c>
      <c r="O191" s="49">
        <f>IF(Provozování!$V$16="Neaktivní",0,Provozování!V53)</f>
        <v>0</v>
      </c>
      <c r="P191" s="49">
        <v>0</v>
      </c>
      <c r="Q191" s="59">
        <f>IF(Provozování!$V$16="Neaktivní",0,Provozování!W53)</f>
        <v>0</v>
      </c>
      <c r="T191" s="12" t="s">
        <v>76</v>
      </c>
      <c r="U191" s="13" t="s">
        <v>77</v>
      </c>
      <c r="V191" s="3" t="s">
        <v>66</v>
      </c>
      <c r="W191" s="595">
        <v>0</v>
      </c>
      <c r="X191" s="49">
        <f>IF(Provozování!$V$16="Neaktivní",F191,F191*Výpočty!$J$58+O191)</f>
        <v>0</v>
      </c>
      <c r="Y191" s="49">
        <f>W191-X191</f>
        <v>0</v>
      </c>
      <c r="Z191" s="595">
        <v>0</v>
      </c>
      <c r="AA191" s="49">
        <f>IF(Provozování!$V$16="Neaktivní",H191,H191*Výpočty!$J$58+Q191)</f>
        <v>0</v>
      </c>
      <c r="AB191" s="32">
        <f t="shared" si="86"/>
        <v>0</v>
      </c>
      <c r="AC191" s="183"/>
      <c r="AD191" s="183"/>
      <c r="AE191" s="534" t="s">
        <v>415</v>
      </c>
      <c r="AF191" s="534"/>
      <c r="AG191" s="360">
        <f>IF(AI191&gt;0,AG180*(AI191-0.1)*1,0)</f>
        <v>0</v>
      </c>
      <c r="AH191" s="360">
        <f ca="1">IF(AJ191&gt;0,AH180*(AJ191-0.1)*1,0)</f>
        <v>0</v>
      </c>
      <c r="AI191" s="454">
        <f>IF(AG187&gt;0.1,AG187,0)</f>
        <v>0</v>
      </c>
      <c r="AJ191" s="454">
        <f ca="1">IF(AH187&gt;0.1,AH187,0)</f>
        <v>0</v>
      </c>
      <c r="AK191" s="183"/>
      <c r="AL191" s="183"/>
      <c r="AM191" s="183"/>
      <c r="AN191" s="183"/>
    </row>
    <row r="192" spans="2:40" x14ac:dyDescent="0.25">
      <c r="B192" s="12" t="s">
        <v>78</v>
      </c>
      <c r="C192" s="13" t="s">
        <v>79</v>
      </c>
      <c r="D192" s="3" t="s">
        <v>66</v>
      </c>
      <c r="E192" s="49">
        <v>0</v>
      </c>
      <c r="F192" s="49">
        <f>IF(YEAR(Postup!$H$25)&gt;$D$144,Provozování!T54,IF(AND(DAY(Postup!$H$25)=31,MONTH(Postup!$H$25)=12,YEAR(Postup!$H$25)=$D$144),Provozování!T54,IF(YEAR(Postup!$H$25)=$D$144,Provozování!$BL54,0)))</f>
        <v>0</v>
      </c>
      <c r="G192" s="49">
        <v>0</v>
      </c>
      <c r="H192" s="32">
        <f>IF(YEAR(Postup!$H$25)&gt;$D$144,Provozování!U54,IF(AND(DAY(Postup!$H$25)=31,MONTH(Postup!$H$25)=12,YEAR(Postup!$H$25)=$D$144),Provozování!U54,IF(YEAR(Postup!$H$25)=$D$144,Provozování!$BM54,0)))</f>
        <v>1.4E-2</v>
      </c>
      <c r="K192" s="12" t="s">
        <v>78</v>
      </c>
      <c r="L192" s="13" t="s">
        <v>79</v>
      </c>
      <c r="M192" s="3" t="s">
        <v>66</v>
      </c>
      <c r="N192" s="49">
        <v>0</v>
      </c>
      <c r="O192" s="49">
        <f>IF(Provozování!$V$16="Neaktivní",0,Provozování!V54)</f>
        <v>0</v>
      </c>
      <c r="P192" s="49">
        <v>0</v>
      </c>
      <c r="Q192" s="32">
        <f>IF(Provozování!$V$16="Neaktivní",0,Provozování!W54)</f>
        <v>0</v>
      </c>
      <c r="T192" s="12" t="s">
        <v>78</v>
      </c>
      <c r="U192" s="13" t="s">
        <v>79</v>
      </c>
      <c r="V192" s="3" t="s">
        <v>66</v>
      </c>
      <c r="W192" s="595">
        <v>0</v>
      </c>
      <c r="X192" s="49">
        <f>IF(Provozování!$V$16="Neaktivní",F192,F192*Výpočty!$J$58+O192)</f>
        <v>0</v>
      </c>
      <c r="Y192" s="49">
        <f>W192-X192</f>
        <v>0</v>
      </c>
      <c r="Z192" s="595">
        <v>0</v>
      </c>
      <c r="AA192" s="49">
        <f>IF(Provozování!$V$16="Neaktivní",H192,H192*Výpočty!$J$58+Q192)</f>
        <v>1.4E-2</v>
      </c>
      <c r="AB192" s="32">
        <f t="shared" si="86"/>
        <v>-1.4E-2</v>
      </c>
      <c r="AC192" s="183"/>
      <c r="AD192" s="183"/>
      <c r="AE192" s="532" t="s">
        <v>403</v>
      </c>
      <c r="AF192" s="532"/>
      <c r="AG192" s="455">
        <f>SUM(AG188:AG191)</f>
        <v>0</v>
      </c>
      <c r="AH192" s="455">
        <f ca="1">SUM(AH188:AH191)</f>
        <v>0</v>
      </c>
      <c r="AK192" s="183"/>
      <c r="AL192" s="183"/>
      <c r="AM192" s="183"/>
      <c r="AN192" s="183"/>
    </row>
    <row r="193" spans="2:40" x14ac:dyDescent="0.25">
      <c r="B193" s="1"/>
      <c r="C193" s="1"/>
      <c r="D193" s="1"/>
      <c r="E193" s="1"/>
      <c r="F193" s="456"/>
      <c r="G193" s="1"/>
      <c r="H193" s="456"/>
      <c r="K193" s="1"/>
      <c r="L193" s="1"/>
      <c r="M193" s="1"/>
      <c r="N193" s="1"/>
      <c r="O193" s="1"/>
      <c r="P193" s="1"/>
      <c r="Q193" s="1"/>
      <c r="T193" s="1"/>
      <c r="U193" s="1"/>
      <c r="V193" s="1"/>
      <c r="W193" s="1"/>
      <c r="X193" s="1"/>
      <c r="Y193" s="1"/>
      <c r="Z193" s="1"/>
      <c r="AA193" s="1"/>
      <c r="AB193" s="1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</row>
    <row r="194" spans="2:40" x14ac:dyDescent="0.25">
      <c r="B194" s="932" t="s">
        <v>5</v>
      </c>
      <c r="C194" s="721" t="s">
        <v>80</v>
      </c>
      <c r="D194" s="722"/>
      <c r="E194" s="723"/>
      <c r="F194" s="724"/>
      <c r="G194" s="722"/>
      <c r="H194" s="725"/>
      <c r="K194" s="932" t="s">
        <v>5</v>
      </c>
      <c r="L194" s="721" t="s">
        <v>80</v>
      </c>
      <c r="M194" s="722"/>
      <c r="N194" s="723"/>
      <c r="O194" s="724"/>
      <c r="P194" s="722"/>
      <c r="Q194" s="725"/>
      <c r="T194" s="771" t="s">
        <v>5</v>
      </c>
      <c r="U194" s="721" t="s">
        <v>80</v>
      </c>
      <c r="V194" s="722"/>
      <c r="W194" s="723"/>
      <c r="X194" s="723"/>
      <c r="Y194" s="724"/>
      <c r="Z194" s="722"/>
      <c r="AA194" s="722"/>
      <c r="AB194" s="725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</row>
    <row r="195" spans="2:40" x14ac:dyDescent="0.25">
      <c r="B195" s="930"/>
      <c r="C195" s="932" t="s">
        <v>81</v>
      </c>
      <c r="D195" s="929" t="s">
        <v>173</v>
      </c>
      <c r="E195" s="874" t="s">
        <v>118</v>
      </c>
      <c r="F195" s="937"/>
      <c r="G195" s="26" t="s">
        <v>3</v>
      </c>
      <c r="H195" s="23" t="s">
        <v>4</v>
      </c>
      <c r="K195" s="930"/>
      <c r="L195" s="5" t="s">
        <v>81</v>
      </c>
      <c r="M195" s="929" t="s">
        <v>173</v>
      </c>
      <c r="N195" s="874" t="s">
        <v>118</v>
      </c>
      <c r="O195" s="937"/>
      <c r="P195" s="26" t="s">
        <v>3</v>
      </c>
      <c r="Q195" s="23" t="s">
        <v>4</v>
      </c>
      <c r="T195" s="934"/>
      <c r="U195" s="932" t="s">
        <v>81</v>
      </c>
      <c r="V195" s="929" t="s">
        <v>173</v>
      </c>
      <c r="W195" s="874" t="s">
        <v>118</v>
      </c>
      <c r="X195" s="937"/>
      <c r="Y195" s="874" t="s">
        <v>3</v>
      </c>
      <c r="Z195" s="939"/>
      <c r="AA195" s="940" t="s">
        <v>4</v>
      </c>
      <c r="AB195" s="940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</row>
    <row r="196" spans="2:40" x14ac:dyDescent="0.25">
      <c r="B196" s="931"/>
      <c r="C196" s="931"/>
      <c r="D196" s="936"/>
      <c r="E196" s="875"/>
      <c r="F196" s="938"/>
      <c r="G196" s="27" t="s">
        <v>7</v>
      </c>
      <c r="H196" s="24" t="s">
        <v>7</v>
      </c>
      <c r="K196" s="931"/>
      <c r="L196" s="8"/>
      <c r="M196" s="936"/>
      <c r="N196" s="875"/>
      <c r="O196" s="938"/>
      <c r="P196" s="27" t="s">
        <v>7</v>
      </c>
      <c r="Q196" s="24" t="s">
        <v>7</v>
      </c>
      <c r="T196" s="935"/>
      <c r="U196" s="931"/>
      <c r="V196" s="936"/>
      <c r="W196" s="875"/>
      <c r="X196" s="938"/>
      <c r="Y196" s="40" t="s">
        <v>196</v>
      </c>
      <c r="Z196" s="40" t="s">
        <v>7</v>
      </c>
      <c r="AA196" s="40" t="s">
        <v>196</v>
      </c>
      <c r="AB196" s="40" t="s">
        <v>7</v>
      </c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</row>
    <row r="197" spans="2:40" x14ac:dyDescent="0.25">
      <c r="B197" s="11">
        <v>1</v>
      </c>
      <c r="C197" s="11">
        <v>2</v>
      </c>
      <c r="D197" s="11" t="s">
        <v>111</v>
      </c>
      <c r="E197" s="735" t="s">
        <v>115</v>
      </c>
      <c r="F197" s="736"/>
      <c r="G197" s="11" t="s">
        <v>116</v>
      </c>
      <c r="H197" s="22" t="s">
        <v>117</v>
      </c>
      <c r="K197" s="11">
        <v>1</v>
      </c>
      <c r="L197" s="11">
        <v>2</v>
      </c>
      <c r="M197" s="11" t="s">
        <v>111</v>
      </c>
      <c r="N197" s="735" t="s">
        <v>115</v>
      </c>
      <c r="O197" s="736"/>
      <c r="P197" s="11" t="s">
        <v>116</v>
      </c>
      <c r="Q197" s="22" t="s">
        <v>117</v>
      </c>
      <c r="T197" s="11">
        <v>1</v>
      </c>
      <c r="U197" s="11">
        <v>2</v>
      </c>
      <c r="V197" s="11" t="s">
        <v>111</v>
      </c>
      <c r="W197" s="944" t="s">
        <v>115</v>
      </c>
      <c r="X197" s="945"/>
      <c r="Y197" s="11" t="s">
        <v>201</v>
      </c>
      <c r="Z197" s="11" t="s">
        <v>116</v>
      </c>
      <c r="AA197" s="11" t="s">
        <v>200</v>
      </c>
      <c r="AB197" s="22" t="s">
        <v>117</v>
      </c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</row>
    <row r="198" spans="2:40" x14ac:dyDescent="0.25">
      <c r="B198" s="12" t="s">
        <v>82</v>
      </c>
      <c r="C198" s="13" t="s">
        <v>127</v>
      </c>
      <c r="D198" s="13" t="s">
        <v>83</v>
      </c>
      <c r="E198" s="732" t="s">
        <v>120</v>
      </c>
      <c r="F198" s="733"/>
      <c r="G198" s="171">
        <f>IF(G204=0,0,G199/G204)</f>
        <v>0</v>
      </c>
      <c r="H198" s="172">
        <f ca="1">IF(H204=0,0,H199/H204)</f>
        <v>30.714285714285712</v>
      </c>
      <c r="K198" s="12" t="s">
        <v>82</v>
      </c>
      <c r="L198" s="13" t="s">
        <v>127</v>
      </c>
      <c r="M198" s="13" t="s">
        <v>83</v>
      </c>
      <c r="N198" s="732" t="s">
        <v>120</v>
      </c>
      <c r="O198" s="733"/>
      <c r="P198" s="171">
        <f>IF(P204=0,0,P199/P204)</f>
        <v>0</v>
      </c>
      <c r="Q198" s="172">
        <f>IF(Q204=0,0,Q199/Q204)</f>
        <v>0</v>
      </c>
      <c r="T198" s="12" t="s">
        <v>82</v>
      </c>
      <c r="U198" s="13" t="s">
        <v>127</v>
      </c>
      <c r="V198" s="13" t="s">
        <v>83</v>
      </c>
      <c r="W198" s="13" t="s">
        <v>120</v>
      </c>
      <c r="X198" s="101"/>
      <c r="Y198" s="171">
        <f t="shared" ref="Y198:AB198" si="87">IF(Y204=0,0,Y199/Y204)</f>
        <v>0</v>
      </c>
      <c r="Z198" s="171">
        <f t="shared" si="87"/>
        <v>0</v>
      </c>
      <c r="AA198" s="171">
        <f t="shared" si="87"/>
        <v>0</v>
      </c>
      <c r="AB198" s="172">
        <f t="shared" ca="1" si="87"/>
        <v>30.714285714285712</v>
      </c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</row>
    <row r="199" spans="2:40" x14ac:dyDescent="0.25">
      <c r="B199" s="12" t="s">
        <v>84</v>
      </c>
      <c r="C199" s="13" t="s">
        <v>85</v>
      </c>
      <c r="D199" s="13" t="s">
        <v>10</v>
      </c>
      <c r="E199" s="732" t="s">
        <v>121</v>
      </c>
      <c r="F199" s="733"/>
      <c r="G199" s="448">
        <f>F181</f>
        <v>0</v>
      </c>
      <c r="H199" s="449">
        <f ca="1">H181</f>
        <v>0.43</v>
      </c>
      <c r="K199" s="12" t="s">
        <v>84</v>
      </c>
      <c r="L199" s="13" t="s">
        <v>85</v>
      </c>
      <c r="M199" s="13" t="s">
        <v>10</v>
      </c>
      <c r="N199" s="732" t="s">
        <v>121</v>
      </c>
      <c r="O199" s="733"/>
      <c r="P199" s="448">
        <f>O181</f>
        <v>0</v>
      </c>
      <c r="Q199" s="449">
        <f>Q181</f>
        <v>0</v>
      </c>
      <c r="T199" s="12" t="s">
        <v>84</v>
      </c>
      <c r="U199" s="13" t="s">
        <v>85</v>
      </c>
      <c r="V199" s="13" t="s">
        <v>10</v>
      </c>
      <c r="W199" s="13" t="s">
        <v>121</v>
      </c>
      <c r="X199" s="101"/>
      <c r="Y199" s="14">
        <f>W181</f>
        <v>0</v>
      </c>
      <c r="Z199" s="14">
        <f>X181</f>
        <v>0</v>
      </c>
      <c r="AA199" s="14">
        <f>Z181</f>
        <v>0</v>
      </c>
      <c r="AB199" s="15">
        <f ca="1">AA181</f>
        <v>0.43</v>
      </c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</row>
    <row r="200" spans="2:40" x14ac:dyDescent="0.25">
      <c r="B200" s="12" t="s">
        <v>86</v>
      </c>
      <c r="C200" s="13" t="s">
        <v>87</v>
      </c>
      <c r="D200" s="13" t="s">
        <v>10</v>
      </c>
      <c r="E200" s="732"/>
      <c r="F200" s="733"/>
      <c r="G200" s="448">
        <f>IF(YEAR(Postup!$H$25)&gt;$D$144,Provozování!T$85,IF(AND(DAY(Postup!$H$25)=31,MONTH(Postup!$H$25)=12,YEAR(Postup!$H$25)=$D$144),Provozování!T$85,IF(YEAR(Postup!$H$25)=$D$144,Provozování!$BL85,0)))</f>
        <v>0</v>
      </c>
      <c r="H200" s="449">
        <f ca="1">IF(YEAR(Postup!$H$25)&gt;$D$144,Provozování!U$85,IF(AND(DAY(Postup!$H$25)=31,MONTH(Postup!$H$25)=12,YEAR(Postup!$H$25)=$D$144),Provozování!U$85,IF(YEAR(Postup!$H$25)=$D$144,Provozování!$BM85,0)))</f>
        <v>7.758654207907981E-3</v>
      </c>
      <c r="K200" s="12" t="s">
        <v>86</v>
      </c>
      <c r="L200" s="13" t="s">
        <v>87</v>
      </c>
      <c r="M200" s="13" t="s">
        <v>10</v>
      </c>
      <c r="N200" s="732"/>
      <c r="O200" s="733"/>
      <c r="P200" s="448">
        <f>IF(Provozování!$V$16="Neaktivní",0,Provozování!V85)</f>
        <v>0</v>
      </c>
      <c r="Q200" s="449">
        <f>IF(Provozování!$V$16="Neaktivní",0,Provozování!W85)</f>
        <v>0</v>
      </c>
      <c r="T200" s="12" t="s">
        <v>86</v>
      </c>
      <c r="U200" s="13" t="s">
        <v>87</v>
      </c>
      <c r="V200" s="13" t="s">
        <v>10</v>
      </c>
      <c r="W200" s="13"/>
      <c r="X200" s="101"/>
      <c r="Y200" s="595">
        <v>0</v>
      </c>
      <c r="Z200" s="14">
        <f>IF(Provozování!$V$16="Neaktivní",G200,G200*Výpočty!$J$58+P200)</f>
        <v>0</v>
      </c>
      <c r="AA200" s="595">
        <v>0</v>
      </c>
      <c r="AB200" s="15">
        <f ca="1">IF(Provozování!$V$16="Neaktivní",H200,H200*Výpočty!$J$58+Q200)</f>
        <v>7.758654207907981E-3</v>
      </c>
      <c r="AC200" s="183"/>
      <c r="AD200" s="183"/>
      <c r="AE200" s="183"/>
      <c r="AF200" s="183"/>
      <c r="AG200" s="183"/>
      <c r="AH200" s="183"/>
      <c r="AI200" s="183"/>
      <c r="AJ200" s="183"/>
      <c r="AK200" s="183"/>
      <c r="AL200" s="183"/>
      <c r="AM200" s="183"/>
      <c r="AN200" s="183"/>
    </row>
    <row r="201" spans="2:40" x14ac:dyDescent="0.25">
      <c r="B201" s="12" t="s">
        <v>88</v>
      </c>
      <c r="C201" s="21" t="s">
        <v>89</v>
      </c>
      <c r="D201" s="13" t="s">
        <v>90</v>
      </c>
      <c r="E201" s="732" t="s">
        <v>123</v>
      </c>
      <c r="F201" s="733"/>
      <c r="G201" s="171">
        <f>IF(G199=0,0,G200/G199*100)</f>
        <v>0</v>
      </c>
      <c r="H201" s="172">
        <f ca="1">IF(H199=0,0,H200/H199*100)</f>
        <v>1.8043381878855771</v>
      </c>
      <c r="K201" s="12" t="s">
        <v>88</v>
      </c>
      <c r="L201" s="21" t="s">
        <v>89</v>
      </c>
      <c r="M201" s="13" t="s">
        <v>90</v>
      </c>
      <c r="N201" s="732" t="s">
        <v>123</v>
      </c>
      <c r="O201" s="733"/>
      <c r="P201" s="171">
        <f>IF(P199=0,0,P200/P199*100)</f>
        <v>0</v>
      </c>
      <c r="Q201" s="172">
        <f>IF(Q199=0,0,Q200/Q199*100)</f>
        <v>0</v>
      </c>
      <c r="T201" s="12" t="s">
        <v>88</v>
      </c>
      <c r="U201" s="21" t="s">
        <v>89</v>
      </c>
      <c r="V201" s="13" t="s">
        <v>90</v>
      </c>
      <c r="W201" s="13" t="s">
        <v>123</v>
      </c>
      <c r="X201" s="101"/>
      <c r="Y201" s="171">
        <f t="shared" ref="Y201:AB201" si="88">IF(Y199=0,0,Y200/Y199*100)</f>
        <v>0</v>
      </c>
      <c r="Z201" s="171">
        <f t="shared" si="88"/>
        <v>0</v>
      </c>
      <c r="AA201" s="171">
        <f t="shared" si="88"/>
        <v>0</v>
      </c>
      <c r="AB201" s="172">
        <f t="shared" ca="1" si="88"/>
        <v>1.8043381878855771</v>
      </c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</row>
    <row r="202" spans="2:40" x14ac:dyDescent="0.25">
      <c r="B202" s="12" t="s">
        <v>91</v>
      </c>
      <c r="C202" s="21" t="s">
        <v>92</v>
      </c>
      <c r="D202" s="13" t="s">
        <v>10</v>
      </c>
      <c r="E202" s="732"/>
      <c r="F202" s="733"/>
      <c r="G202" s="411">
        <v>0</v>
      </c>
      <c r="H202" s="136">
        <v>0</v>
      </c>
      <c r="K202" s="12" t="s">
        <v>91</v>
      </c>
      <c r="L202" s="21" t="s">
        <v>92</v>
      </c>
      <c r="M202" s="13" t="s">
        <v>10</v>
      </c>
      <c r="N202" s="732"/>
      <c r="O202" s="733"/>
      <c r="P202" s="411">
        <v>0</v>
      </c>
      <c r="Q202" s="136">
        <v>0</v>
      </c>
      <c r="T202" s="12" t="s">
        <v>91</v>
      </c>
      <c r="U202" s="21" t="s">
        <v>92</v>
      </c>
      <c r="V202" s="13" t="s">
        <v>10</v>
      </c>
      <c r="W202" s="13"/>
      <c r="X202" s="101"/>
      <c r="Y202" s="445">
        <v>0</v>
      </c>
      <c r="Z202" s="445">
        <v>0</v>
      </c>
      <c r="AA202" s="445">
        <v>0</v>
      </c>
      <c r="AB202" s="442">
        <v>0</v>
      </c>
      <c r="AC202" s="183"/>
      <c r="AD202" s="183"/>
      <c r="AE202" s="183"/>
      <c r="AF202" s="183"/>
      <c r="AG202" s="183"/>
      <c r="AH202" s="183"/>
      <c r="AI202" s="183"/>
      <c r="AJ202" s="183"/>
      <c r="AK202" s="183"/>
      <c r="AL202" s="183"/>
      <c r="AM202" s="183"/>
      <c r="AN202" s="183"/>
    </row>
    <row r="203" spans="2:40" x14ac:dyDescent="0.25">
      <c r="B203" s="12" t="s">
        <v>93</v>
      </c>
      <c r="C203" s="13" t="s">
        <v>94</v>
      </c>
      <c r="D203" s="13" t="s">
        <v>10</v>
      </c>
      <c r="E203" s="732" t="s">
        <v>122</v>
      </c>
      <c r="F203" s="733"/>
      <c r="G203" s="448">
        <f>G199+G200</f>
        <v>0</v>
      </c>
      <c r="H203" s="449">
        <f ca="1">H199+H200</f>
        <v>0.43775865420790799</v>
      </c>
      <c r="K203" s="12" t="s">
        <v>93</v>
      </c>
      <c r="L203" s="13" t="s">
        <v>94</v>
      </c>
      <c r="M203" s="13" t="s">
        <v>10</v>
      </c>
      <c r="N203" s="732" t="s">
        <v>122</v>
      </c>
      <c r="O203" s="733"/>
      <c r="P203" s="448">
        <f>P199+P200</f>
        <v>0</v>
      </c>
      <c r="Q203" s="449">
        <f>Q199+Q200</f>
        <v>0</v>
      </c>
      <c r="T203" s="12" t="s">
        <v>93</v>
      </c>
      <c r="U203" s="13" t="s">
        <v>94</v>
      </c>
      <c r="V203" s="13" t="s">
        <v>10</v>
      </c>
      <c r="W203" s="13" t="s">
        <v>122</v>
      </c>
      <c r="X203" s="101"/>
      <c r="Y203" s="448">
        <f t="shared" ref="Y203:AB203" si="89">Y199+Y200</f>
        <v>0</v>
      </c>
      <c r="Z203" s="448">
        <f t="shared" si="89"/>
        <v>0</v>
      </c>
      <c r="AA203" s="448">
        <f t="shared" si="89"/>
        <v>0</v>
      </c>
      <c r="AB203" s="449">
        <f t="shared" ca="1" si="89"/>
        <v>0.43775865420790799</v>
      </c>
      <c r="AC203" s="183"/>
      <c r="AD203" s="183"/>
      <c r="AE203" s="183"/>
      <c r="AF203" s="183"/>
      <c r="AG203" s="183"/>
      <c r="AH203" s="183"/>
      <c r="AI203" s="183"/>
      <c r="AJ203" s="183"/>
      <c r="AK203" s="183"/>
      <c r="AL203" s="183"/>
      <c r="AM203" s="183"/>
      <c r="AN203" s="183"/>
    </row>
    <row r="204" spans="2:40" x14ac:dyDescent="0.25">
      <c r="B204" s="12" t="s">
        <v>95</v>
      </c>
      <c r="C204" s="13" t="s">
        <v>96</v>
      </c>
      <c r="D204" s="13" t="s">
        <v>66</v>
      </c>
      <c r="E204" s="732" t="s">
        <v>124</v>
      </c>
      <c r="F204" s="733"/>
      <c r="G204" s="448">
        <f>F185</f>
        <v>0</v>
      </c>
      <c r="H204" s="449">
        <f>H187+H189</f>
        <v>1.4E-2</v>
      </c>
      <c r="K204" s="12" t="s">
        <v>95</v>
      </c>
      <c r="L204" s="13" t="s">
        <v>96</v>
      </c>
      <c r="M204" s="13" t="s">
        <v>66</v>
      </c>
      <c r="N204" s="732" t="s">
        <v>124</v>
      </c>
      <c r="O204" s="733"/>
      <c r="P204" s="448">
        <f>O185</f>
        <v>0</v>
      </c>
      <c r="Q204" s="449">
        <f>Q187+Q189</f>
        <v>0</v>
      </c>
      <c r="T204" s="12" t="s">
        <v>95</v>
      </c>
      <c r="U204" s="13" t="s">
        <v>96</v>
      </c>
      <c r="V204" s="13" t="s">
        <v>66</v>
      </c>
      <c r="W204" s="13" t="s">
        <v>124</v>
      </c>
      <c r="X204" s="101"/>
      <c r="Y204" s="14">
        <f>W185</f>
        <v>0</v>
      </c>
      <c r="Z204" s="14">
        <f>X185</f>
        <v>0</v>
      </c>
      <c r="AA204" s="14">
        <f>Z187+Z189</f>
        <v>0</v>
      </c>
      <c r="AB204" s="15">
        <f>AA187+AA189</f>
        <v>1.4E-2</v>
      </c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</row>
    <row r="205" spans="2:40" x14ac:dyDescent="0.25">
      <c r="B205" s="12" t="s">
        <v>97</v>
      </c>
      <c r="C205" s="13" t="s">
        <v>98</v>
      </c>
      <c r="D205" s="13" t="s">
        <v>83</v>
      </c>
      <c r="E205" s="732" t="s">
        <v>125</v>
      </c>
      <c r="F205" s="733"/>
      <c r="G205" s="171">
        <f>IF(G204=0,0,G203/G204)</f>
        <v>0</v>
      </c>
      <c r="H205" s="172">
        <f ca="1">IF(H204=0,0,H203/H204)</f>
        <v>31.268475300564855</v>
      </c>
      <c r="K205" s="12" t="s">
        <v>97</v>
      </c>
      <c r="L205" s="13" t="s">
        <v>98</v>
      </c>
      <c r="M205" s="13" t="s">
        <v>83</v>
      </c>
      <c r="N205" s="732" t="s">
        <v>125</v>
      </c>
      <c r="O205" s="733"/>
      <c r="P205" s="171">
        <f>IF(P204=0,0,P203/P204)</f>
        <v>0</v>
      </c>
      <c r="Q205" s="172">
        <f>IF(Q204=0,0,Q203/Q204)</f>
        <v>0</v>
      </c>
      <c r="T205" s="12" t="s">
        <v>97</v>
      </c>
      <c r="U205" s="13" t="s">
        <v>98</v>
      </c>
      <c r="V205" s="13" t="s">
        <v>83</v>
      </c>
      <c r="W205" s="13" t="s">
        <v>125</v>
      </c>
      <c r="X205" s="101"/>
      <c r="Y205" s="171">
        <f t="shared" ref="Y205:AB205" si="90">IF(Y204=0,0,Y203/Y204)</f>
        <v>0</v>
      </c>
      <c r="Z205" s="171">
        <f t="shared" si="90"/>
        <v>0</v>
      </c>
      <c r="AA205" s="171">
        <f t="shared" si="90"/>
        <v>0</v>
      </c>
      <c r="AB205" s="172">
        <f t="shared" ca="1" si="90"/>
        <v>31.268475300564855</v>
      </c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</row>
    <row r="206" spans="2:40" x14ac:dyDescent="0.25">
      <c r="B206" s="12" t="s">
        <v>99</v>
      </c>
      <c r="C206" s="13" t="str">
        <f>CONCATENATE("CENA pro vodné, stočné + ",Provozování!T93*100,"% DPH")</f>
        <v>CENA pro vodné, stočné + 15% DPH</v>
      </c>
      <c r="D206" s="13" t="s">
        <v>83</v>
      </c>
      <c r="E206" s="732" t="s">
        <v>126</v>
      </c>
      <c r="F206" s="733"/>
      <c r="G206" s="171">
        <f>G205*(1+Provozování!T$93)</f>
        <v>0</v>
      </c>
      <c r="H206" s="172">
        <f ca="1">H205*(1+Provozování!U$93)</f>
        <v>35.958746595649579</v>
      </c>
      <c r="K206" s="12" t="s">
        <v>99</v>
      </c>
      <c r="L206" s="13" t="str">
        <f>C206</f>
        <v>CENA pro vodné, stočné + 15% DPH</v>
      </c>
      <c r="M206" s="13" t="s">
        <v>83</v>
      </c>
      <c r="N206" s="732" t="s">
        <v>126</v>
      </c>
      <c r="O206" s="733"/>
      <c r="P206" s="171">
        <f>P205*(1+Provozování!T$93)</f>
        <v>0</v>
      </c>
      <c r="Q206" s="172">
        <f>Q205*(1+Provozování!U$93)</f>
        <v>0</v>
      </c>
      <c r="T206" s="12" t="s">
        <v>99</v>
      </c>
      <c r="U206" s="13" t="str">
        <f>C206</f>
        <v>CENA pro vodné, stočné + 15% DPH</v>
      </c>
      <c r="V206" s="13" t="s">
        <v>83</v>
      </c>
      <c r="W206" s="13" t="s">
        <v>126</v>
      </c>
      <c r="X206" s="101"/>
      <c r="Y206" s="171">
        <f>Y205*(1+Provozování!T$93)</f>
        <v>0</v>
      </c>
      <c r="Z206" s="171">
        <f>Z205*(1+Provozování!T$93)</f>
        <v>0</v>
      </c>
      <c r="AA206" s="171">
        <f>AA205*(1+Provozování!U$93)</f>
        <v>0</v>
      </c>
      <c r="AB206" s="172">
        <f ca="1">AB205*(1+Provozování!U$93)</f>
        <v>35.958746595649579</v>
      </c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</row>
    <row r="207" spans="2:40" x14ac:dyDescent="0.25">
      <c r="T207" s="916" t="s">
        <v>203</v>
      </c>
      <c r="U207" s="916" t="s">
        <v>202</v>
      </c>
      <c r="V207" s="744" t="s">
        <v>10</v>
      </c>
      <c r="W207" s="919" t="s">
        <v>204</v>
      </c>
      <c r="X207" s="732"/>
      <c r="Y207" s="102" t="s">
        <v>206</v>
      </c>
      <c r="Z207" s="105" t="s">
        <v>207</v>
      </c>
      <c r="AA207" s="102" t="s">
        <v>206</v>
      </c>
      <c r="AB207" s="105" t="s">
        <v>207</v>
      </c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</row>
    <row r="208" spans="2:40" x14ac:dyDescent="0.25">
      <c r="B208" s="500" t="s">
        <v>354</v>
      </c>
      <c r="T208" s="917"/>
      <c r="U208" s="917"/>
      <c r="V208" s="745"/>
      <c r="W208" s="920">
        <v>0</v>
      </c>
      <c r="X208" s="921"/>
      <c r="Y208" s="103">
        <f>W144</f>
        <v>2022</v>
      </c>
      <c r="Z208" s="103">
        <f>W144</f>
        <v>2022</v>
      </c>
      <c r="AA208" s="103">
        <f>W144</f>
        <v>2022</v>
      </c>
      <c r="AB208" s="103">
        <f>W144</f>
        <v>2022</v>
      </c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</row>
    <row r="209" spans="1:40" x14ac:dyDescent="0.25">
      <c r="B209" s="500" t="s">
        <v>355</v>
      </c>
      <c r="T209" s="917"/>
      <c r="U209" s="917"/>
      <c r="V209" s="745"/>
      <c r="W209" s="919" t="s">
        <v>205</v>
      </c>
      <c r="X209" s="732"/>
      <c r="Y209" s="104" t="s">
        <v>208</v>
      </c>
      <c r="Z209" s="104" t="s">
        <v>208</v>
      </c>
      <c r="AA209" s="104" t="s">
        <v>209</v>
      </c>
      <c r="AB209" s="104" t="s">
        <v>209</v>
      </c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</row>
    <row r="210" spans="1:40" x14ac:dyDescent="0.25">
      <c r="T210" s="918"/>
      <c r="U210" s="918"/>
      <c r="V210" s="746"/>
      <c r="W210" s="922">
        <v>0</v>
      </c>
      <c r="X210" s="920"/>
      <c r="Y210" s="597">
        <v>0</v>
      </c>
      <c r="Z210" s="597">
        <v>0</v>
      </c>
      <c r="AA210" s="597">
        <v>0</v>
      </c>
      <c r="AB210" s="597">
        <v>0</v>
      </c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</row>
    <row r="211" spans="1:40" x14ac:dyDescent="0.25">
      <c r="A211" s="342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</row>
    <row r="212" spans="1:40" x14ac:dyDescent="0.25">
      <c r="B212" s="726" t="s">
        <v>393</v>
      </c>
      <c r="C212" s="727"/>
      <c r="D212" s="727"/>
      <c r="E212" s="727"/>
      <c r="F212" s="727"/>
      <c r="G212" s="727"/>
      <c r="H212" s="727"/>
      <c r="K212" s="726" t="s">
        <v>394</v>
      </c>
      <c r="L212" s="727"/>
      <c r="M212" s="727"/>
      <c r="N212" s="727"/>
      <c r="O212" s="727"/>
      <c r="P212" s="727"/>
      <c r="Q212" s="727"/>
      <c r="T212" s="726" t="s">
        <v>210</v>
      </c>
      <c r="U212" s="727"/>
      <c r="V212" s="727"/>
      <c r="W212" s="727"/>
      <c r="X212" s="727"/>
      <c r="Y212" s="727"/>
      <c r="Z212" s="727"/>
      <c r="AA212" s="727"/>
      <c r="AB212" s="727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</row>
    <row r="213" spans="1:40" x14ac:dyDescent="0.25">
      <c r="C213" s="362"/>
      <c r="E213" s="25"/>
      <c r="F213" s="25"/>
      <c r="L213" s="25"/>
      <c r="N213" s="25"/>
      <c r="T213" s="950" t="s">
        <v>395</v>
      </c>
      <c r="U213" s="950"/>
      <c r="V213" s="950"/>
      <c r="W213" s="950"/>
      <c r="X213" s="950"/>
      <c r="Y213" s="950"/>
      <c r="Z213" s="950"/>
      <c r="AA213" s="950"/>
      <c r="AB213" s="950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3"/>
      <c r="AN213" s="183"/>
    </row>
    <row r="214" spans="1:40" x14ac:dyDescent="0.25">
      <c r="C214" s="362" t="s">
        <v>119</v>
      </c>
      <c r="D214" s="364">
        <f>D144+1</f>
        <v>2023</v>
      </c>
      <c r="E214" s="25"/>
      <c r="F214" s="362" t="s">
        <v>278</v>
      </c>
      <c r="G214" s="365">
        <f>Výpočty!K$56</f>
        <v>44927</v>
      </c>
      <c r="H214" s="365" t="str">
        <f>IF(Výpočty!K$57="-"," ",CONCATENATE("- ",DAY(Výpočty!K$57),".",MONTH(Výpočty!K$57),".",D214))</f>
        <v>- 31.12.2023</v>
      </c>
      <c r="L214" s="362" t="s">
        <v>119</v>
      </c>
      <c r="M214" s="364">
        <f>D214</f>
        <v>2023</v>
      </c>
      <c r="O214" s="362" t="s">
        <v>278</v>
      </c>
      <c r="P214" s="475" t="str">
        <f>Výpočty!K$52</f>
        <v>-</v>
      </c>
      <c r="Q214" s="475" t="str">
        <f>IF(P214="-"," ",H214)</f>
        <v xml:space="preserve"> </v>
      </c>
      <c r="T214" s="441"/>
      <c r="U214" s="441"/>
      <c r="V214" s="451" t="s">
        <v>195</v>
      </c>
      <c r="W214" s="364">
        <f>D214</f>
        <v>2023</v>
      </c>
      <c r="Z214" s="362" t="s">
        <v>278</v>
      </c>
      <c r="AA214" s="365">
        <f>G214</f>
        <v>44927</v>
      </c>
      <c r="AB214" s="365" t="str">
        <f>H214</f>
        <v>- 31.12.2023</v>
      </c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3"/>
      <c r="AN214" s="183"/>
    </row>
    <row r="215" spans="1:40" x14ac:dyDescent="0.25">
      <c r="B215" s="13" t="s">
        <v>74</v>
      </c>
      <c r="C215" s="13" t="s">
        <v>105</v>
      </c>
      <c r="D215" s="715" t="str">
        <f t="shared" ref="D215:D220" si="91">D145</f>
        <v/>
      </c>
      <c r="E215" s="716"/>
      <c r="F215" s="716"/>
      <c r="G215" s="716"/>
      <c r="H215" s="717"/>
      <c r="K215" s="13" t="s">
        <v>74</v>
      </c>
      <c r="L215" s="13" t="s">
        <v>105</v>
      </c>
      <c r="M215" s="949" t="str">
        <f t="shared" ref="M215:M217" si="92">D215</f>
        <v/>
      </c>
      <c r="N215" s="738"/>
      <c r="O215" s="738"/>
      <c r="P215" s="738"/>
      <c r="Q215" s="738"/>
      <c r="T215" s="13" t="s">
        <v>74</v>
      </c>
      <c r="U215" s="13" t="s">
        <v>105</v>
      </c>
      <c r="V215" s="949" t="str">
        <f t="shared" ref="V215:V217" si="93">D215</f>
        <v/>
      </c>
      <c r="W215" s="738"/>
      <c r="X215" s="738"/>
      <c r="Y215" s="738"/>
      <c r="Z215" s="738"/>
      <c r="AA215" s="738"/>
      <c r="AB215" s="738"/>
      <c r="AC215" s="183"/>
      <c r="AD215" s="183"/>
      <c r="AK215" s="183"/>
      <c r="AL215" s="183"/>
      <c r="AM215" s="183"/>
      <c r="AN215" s="183"/>
    </row>
    <row r="216" spans="1:40" x14ac:dyDescent="0.25">
      <c r="B216" s="13" t="s">
        <v>100</v>
      </c>
      <c r="C216" s="13" t="s">
        <v>106</v>
      </c>
      <c r="D216" s="715" t="str">
        <f t="shared" si="91"/>
        <v/>
      </c>
      <c r="E216" s="716"/>
      <c r="F216" s="716"/>
      <c r="G216" s="716"/>
      <c r="H216" s="717"/>
      <c r="K216" s="13" t="s">
        <v>100</v>
      </c>
      <c r="L216" s="13" t="s">
        <v>106</v>
      </c>
      <c r="M216" s="941" t="str">
        <f t="shared" si="92"/>
        <v/>
      </c>
      <c r="N216" s="942"/>
      <c r="O216" s="942"/>
      <c r="P216" s="942"/>
      <c r="Q216" s="943"/>
      <c r="T216" s="13" t="s">
        <v>100</v>
      </c>
      <c r="U216" s="13" t="s">
        <v>106</v>
      </c>
      <c r="V216" s="941" t="str">
        <f t="shared" si="93"/>
        <v/>
      </c>
      <c r="W216" s="942"/>
      <c r="X216" s="942"/>
      <c r="Y216" s="942"/>
      <c r="Z216" s="942"/>
      <c r="AA216" s="942"/>
      <c r="AB216" s="943"/>
      <c r="AC216" s="183"/>
      <c r="AD216" s="183"/>
      <c r="AK216" s="183"/>
      <c r="AL216" s="183"/>
      <c r="AM216" s="183"/>
      <c r="AN216" s="183"/>
    </row>
    <row r="217" spans="1:40" x14ac:dyDescent="0.25">
      <c r="B217" s="13" t="s">
        <v>101</v>
      </c>
      <c r="C217" s="13" t="s">
        <v>107</v>
      </c>
      <c r="D217" s="715" t="str">
        <f t="shared" si="91"/>
        <v xml:space="preserve">Město Kraslice, IČ </v>
      </c>
      <c r="E217" s="716"/>
      <c r="F217" s="716"/>
      <c r="G217" s="716"/>
      <c r="H217" s="717"/>
      <c r="K217" s="13" t="s">
        <v>101</v>
      </c>
      <c r="L217" s="13" t="s">
        <v>107</v>
      </c>
      <c r="M217" s="941" t="str">
        <f t="shared" si="92"/>
        <v xml:space="preserve">Město Kraslice, IČ </v>
      </c>
      <c r="N217" s="942"/>
      <c r="O217" s="942"/>
      <c r="P217" s="942"/>
      <c r="Q217" s="943"/>
      <c r="T217" s="13" t="s">
        <v>101</v>
      </c>
      <c r="U217" s="13" t="s">
        <v>107</v>
      </c>
      <c r="V217" s="941" t="str">
        <f t="shared" si="93"/>
        <v xml:space="preserve">Město Kraslice, IČ </v>
      </c>
      <c r="W217" s="942"/>
      <c r="X217" s="942"/>
      <c r="Y217" s="942"/>
      <c r="Z217" s="942"/>
      <c r="AA217" s="942"/>
      <c r="AB217" s="943"/>
      <c r="AC217" s="183"/>
      <c r="AD217" s="183"/>
      <c r="AK217" s="183"/>
      <c r="AL217" s="183"/>
      <c r="AM217" s="183"/>
      <c r="AN217" s="183"/>
    </row>
    <row r="218" spans="1:40" x14ac:dyDescent="0.25">
      <c r="B218" s="13" t="s">
        <v>102</v>
      </c>
      <c r="C218" s="13" t="s">
        <v>109</v>
      </c>
      <c r="D218" s="923" t="str">
        <f t="shared" si="91"/>
        <v>[vyplnit]</v>
      </c>
      <c r="E218" s="924"/>
      <c r="F218" s="924"/>
      <c r="G218" s="924"/>
      <c r="H218" s="925"/>
      <c r="K218" s="13" t="s">
        <v>102</v>
      </c>
      <c r="L218" s="13" t="s">
        <v>109</v>
      </c>
      <c r="M218" s="926" t="str">
        <f>IF($D218="[vyplnit]"," ",$D218)</f>
        <v xml:space="preserve"> </v>
      </c>
      <c r="N218" s="927"/>
      <c r="O218" s="927"/>
      <c r="P218" s="927"/>
      <c r="Q218" s="928"/>
      <c r="T218" s="13" t="s">
        <v>102</v>
      </c>
      <c r="U218" s="13" t="s">
        <v>109</v>
      </c>
      <c r="V218" s="933" t="str">
        <f>IF($D218="[vyplnit]"," ",$D218)</f>
        <v xml:space="preserve"> </v>
      </c>
      <c r="W218" s="933"/>
      <c r="X218" s="933"/>
      <c r="Y218" s="933"/>
      <c r="Z218" s="933"/>
      <c r="AA218" s="933"/>
      <c r="AB218" s="933"/>
      <c r="AC218" s="183"/>
      <c r="AD218" s="183"/>
      <c r="AK218" s="183"/>
      <c r="AL218" s="183"/>
      <c r="AM218" s="183"/>
      <c r="AN218" s="183"/>
    </row>
    <row r="219" spans="1:40" x14ac:dyDescent="0.25">
      <c r="B219" s="13" t="s">
        <v>103</v>
      </c>
      <c r="C219" s="13" t="s">
        <v>108</v>
      </c>
      <c r="D219" s="923" t="str">
        <f t="shared" si="91"/>
        <v>[vyplnit]</v>
      </c>
      <c r="E219" s="924"/>
      <c r="F219" s="924"/>
      <c r="G219" s="924"/>
      <c r="H219" s="925"/>
      <c r="K219" s="13" t="s">
        <v>103</v>
      </c>
      <c r="L219" s="13" t="s">
        <v>108</v>
      </c>
      <c r="M219" s="926" t="str">
        <f t="shared" ref="M219:M220" si="94">IF($D219="[vyplnit]"," ",$D219)</f>
        <v xml:space="preserve"> </v>
      </c>
      <c r="N219" s="927"/>
      <c r="O219" s="927"/>
      <c r="P219" s="927"/>
      <c r="Q219" s="928"/>
      <c r="T219" s="13" t="s">
        <v>103</v>
      </c>
      <c r="U219" s="13" t="s">
        <v>108</v>
      </c>
      <c r="V219" s="933" t="str">
        <f t="shared" ref="V219:V220" si="95">IF($D219="[vyplnit]"," ",$D219)</f>
        <v xml:space="preserve"> </v>
      </c>
      <c r="W219" s="933"/>
      <c r="X219" s="933"/>
      <c r="Y219" s="933"/>
      <c r="Z219" s="933"/>
      <c r="AA219" s="933"/>
      <c r="AB219" s="933"/>
      <c r="AC219" s="183"/>
      <c r="AD219" s="183"/>
      <c r="AK219" s="183"/>
      <c r="AL219" s="183"/>
      <c r="AM219" s="183"/>
      <c r="AN219" s="183"/>
    </row>
    <row r="220" spans="1:40" x14ac:dyDescent="0.25">
      <c r="B220" s="13" t="s">
        <v>104</v>
      </c>
      <c r="C220" s="13" t="s">
        <v>110</v>
      </c>
      <c r="D220" s="923" t="str">
        <f t="shared" si="91"/>
        <v>[vyplnit]</v>
      </c>
      <c r="E220" s="924"/>
      <c r="F220" s="924"/>
      <c r="G220" s="924"/>
      <c r="H220" s="925"/>
      <c r="K220" s="13" t="s">
        <v>104</v>
      </c>
      <c r="L220" s="13" t="s">
        <v>110</v>
      </c>
      <c r="M220" s="926" t="str">
        <f t="shared" si="94"/>
        <v xml:space="preserve"> </v>
      </c>
      <c r="N220" s="927"/>
      <c r="O220" s="927"/>
      <c r="P220" s="927"/>
      <c r="Q220" s="928"/>
      <c r="T220" s="13" t="s">
        <v>104</v>
      </c>
      <c r="U220" s="13" t="s">
        <v>110</v>
      </c>
      <c r="V220" s="933" t="str">
        <f t="shared" si="95"/>
        <v xml:space="preserve"> </v>
      </c>
      <c r="W220" s="933"/>
      <c r="X220" s="933"/>
      <c r="Y220" s="933"/>
      <c r="Z220" s="933"/>
      <c r="AA220" s="933"/>
      <c r="AB220" s="933"/>
      <c r="AC220" s="183"/>
      <c r="AD220" s="183"/>
      <c r="AK220" s="183"/>
      <c r="AL220" s="183"/>
      <c r="AM220" s="183"/>
      <c r="AN220" s="183"/>
    </row>
    <row r="221" spans="1:40" x14ac:dyDescent="0.25">
      <c r="AC221" s="183"/>
      <c r="AK221" s="183"/>
      <c r="AL221" s="183"/>
      <c r="AM221" s="183"/>
      <c r="AN221" s="183"/>
    </row>
    <row r="222" spans="1:40" x14ac:dyDescent="0.25">
      <c r="B222" s="932" t="s">
        <v>5</v>
      </c>
      <c r="C222" s="721" t="s">
        <v>0</v>
      </c>
      <c r="D222" s="722"/>
      <c r="E222" s="722"/>
      <c r="F222" s="722"/>
      <c r="G222" s="722"/>
      <c r="H222" s="725"/>
      <c r="K222" s="932" t="s">
        <v>5</v>
      </c>
      <c r="L222" s="721" t="s">
        <v>0</v>
      </c>
      <c r="M222" s="722"/>
      <c r="N222" s="722"/>
      <c r="O222" s="722"/>
      <c r="P222" s="722"/>
      <c r="Q222" s="725"/>
      <c r="T222" s="932" t="s">
        <v>5</v>
      </c>
      <c r="U222" s="721" t="s">
        <v>0</v>
      </c>
      <c r="V222" s="722"/>
      <c r="W222" s="722"/>
      <c r="X222" s="722"/>
      <c r="Y222" s="722"/>
      <c r="Z222" s="722"/>
      <c r="AA222" s="722"/>
      <c r="AB222" s="725"/>
      <c r="AC222" s="183"/>
      <c r="AK222" s="183"/>
      <c r="AL222" s="183"/>
      <c r="AM222" s="183"/>
      <c r="AN222" s="183"/>
    </row>
    <row r="223" spans="1:40" x14ac:dyDescent="0.25">
      <c r="B223" s="930"/>
      <c r="C223" s="932" t="s">
        <v>1</v>
      </c>
      <c r="D223" s="929" t="s">
        <v>173</v>
      </c>
      <c r="E223" s="721" t="s">
        <v>3</v>
      </c>
      <c r="F223" s="722"/>
      <c r="G223" s="721" t="s">
        <v>4</v>
      </c>
      <c r="H223" s="725"/>
      <c r="K223" s="930"/>
      <c r="L223" s="932" t="s">
        <v>1</v>
      </c>
      <c r="M223" s="929" t="s">
        <v>173</v>
      </c>
      <c r="N223" s="721" t="s">
        <v>3</v>
      </c>
      <c r="O223" s="722"/>
      <c r="P223" s="721" t="s">
        <v>4</v>
      </c>
      <c r="Q223" s="725"/>
      <c r="T223" s="930"/>
      <c r="U223" s="932" t="s">
        <v>1</v>
      </c>
      <c r="V223" s="929" t="s">
        <v>173</v>
      </c>
      <c r="W223" s="721" t="s">
        <v>3</v>
      </c>
      <c r="X223" s="722"/>
      <c r="Y223" s="722"/>
      <c r="Z223" s="721" t="s">
        <v>4</v>
      </c>
      <c r="AA223" s="722"/>
      <c r="AB223" s="725"/>
      <c r="AC223" s="183"/>
      <c r="AK223" s="183"/>
      <c r="AL223" s="183"/>
      <c r="AM223" s="183"/>
      <c r="AN223" s="183"/>
    </row>
    <row r="224" spans="1:40" x14ac:dyDescent="0.25">
      <c r="B224" s="930"/>
      <c r="C224" s="930"/>
      <c r="D224" s="930"/>
      <c r="E224" s="30">
        <f>D214-1</f>
        <v>2022</v>
      </c>
      <c r="F224" s="30">
        <f>D214</f>
        <v>2023</v>
      </c>
      <c r="G224" s="30">
        <f>D214-1</f>
        <v>2022</v>
      </c>
      <c r="H224" s="30">
        <f>D214</f>
        <v>2023</v>
      </c>
      <c r="K224" s="930"/>
      <c r="L224" s="930"/>
      <c r="M224" s="930"/>
      <c r="N224" s="30">
        <f>M214-1</f>
        <v>2022</v>
      </c>
      <c r="O224" s="30">
        <f>M214</f>
        <v>2023</v>
      </c>
      <c r="P224" s="30">
        <f>M214-1</f>
        <v>2022</v>
      </c>
      <c r="Q224" s="30">
        <f>M214</f>
        <v>2023</v>
      </c>
      <c r="T224" s="930"/>
      <c r="U224" s="930"/>
      <c r="V224" s="930"/>
      <c r="W224" s="30">
        <f>W214</f>
        <v>2023</v>
      </c>
      <c r="X224" s="30">
        <f>W214</f>
        <v>2023</v>
      </c>
      <c r="Y224" s="30">
        <f>W214</f>
        <v>2023</v>
      </c>
      <c r="Z224" s="30">
        <f>W214</f>
        <v>2023</v>
      </c>
      <c r="AA224" s="30">
        <f>W214</f>
        <v>2023</v>
      </c>
      <c r="AB224" s="30">
        <f>W214</f>
        <v>2023</v>
      </c>
      <c r="AC224" s="183"/>
      <c r="AK224" s="183"/>
      <c r="AL224" s="183"/>
      <c r="AM224" s="183"/>
      <c r="AN224" s="183"/>
    </row>
    <row r="225" spans="2:40" x14ac:dyDescent="0.25">
      <c r="B225" s="931"/>
      <c r="C225" s="931"/>
      <c r="D225" s="931"/>
      <c r="E225" s="7" t="s">
        <v>199</v>
      </c>
      <c r="F225" s="7" t="s">
        <v>114</v>
      </c>
      <c r="G225" s="7" t="s">
        <v>199</v>
      </c>
      <c r="H225" s="19" t="s">
        <v>114</v>
      </c>
      <c r="K225" s="931"/>
      <c r="L225" s="931"/>
      <c r="M225" s="931"/>
      <c r="N225" s="7" t="s">
        <v>199</v>
      </c>
      <c r="O225" s="7" t="s">
        <v>114</v>
      </c>
      <c r="P225" s="7" t="s">
        <v>199</v>
      </c>
      <c r="Q225" s="19" t="s">
        <v>114</v>
      </c>
      <c r="T225" s="931"/>
      <c r="U225" s="931"/>
      <c r="V225" s="931"/>
      <c r="W225" s="7" t="s">
        <v>198</v>
      </c>
      <c r="X225" s="7" t="s">
        <v>114</v>
      </c>
      <c r="Y225" s="7" t="s">
        <v>197</v>
      </c>
      <c r="Z225" s="7" t="s">
        <v>198</v>
      </c>
      <c r="AA225" s="7" t="s">
        <v>114</v>
      </c>
      <c r="AB225" s="19" t="s">
        <v>197</v>
      </c>
      <c r="AC225" s="183"/>
      <c r="AK225" s="183"/>
      <c r="AL225" s="183"/>
      <c r="AM225" s="183"/>
      <c r="AN225" s="183"/>
    </row>
    <row r="226" spans="2:40" x14ac:dyDescent="0.25">
      <c r="B226" s="11">
        <v>1</v>
      </c>
      <c r="C226" s="11">
        <v>2</v>
      </c>
      <c r="D226" s="11" t="s">
        <v>111</v>
      </c>
      <c r="E226" s="11">
        <v>3</v>
      </c>
      <c r="F226" s="11">
        <v>4</v>
      </c>
      <c r="G226" s="11">
        <v>6</v>
      </c>
      <c r="H226" s="22">
        <v>7</v>
      </c>
      <c r="K226" s="11">
        <v>1</v>
      </c>
      <c r="L226" s="11">
        <v>2</v>
      </c>
      <c r="M226" s="11" t="s">
        <v>111</v>
      </c>
      <c r="N226" s="11">
        <v>3</v>
      </c>
      <c r="O226" s="11">
        <v>4</v>
      </c>
      <c r="P226" s="11">
        <v>6</v>
      </c>
      <c r="Q226" s="22">
        <v>7</v>
      </c>
      <c r="T226" s="11">
        <v>1</v>
      </c>
      <c r="U226" s="11">
        <v>2</v>
      </c>
      <c r="V226" s="11" t="s">
        <v>111</v>
      </c>
      <c r="W226" s="11">
        <v>3</v>
      </c>
      <c r="X226" s="11">
        <v>4</v>
      </c>
      <c r="Y226" s="11">
        <v>5</v>
      </c>
      <c r="Z226" s="11">
        <v>6</v>
      </c>
      <c r="AA226" s="11">
        <v>7</v>
      </c>
      <c r="AB226" s="22">
        <v>8</v>
      </c>
      <c r="AC226" s="183"/>
      <c r="AK226" s="183"/>
      <c r="AL226" s="183"/>
      <c r="AM226" s="183"/>
      <c r="AN226" s="183"/>
    </row>
    <row r="227" spans="2:40" x14ac:dyDescent="0.25">
      <c r="B227" s="9" t="s">
        <v>8</v>
      </c>
      <c r="C227" s="10" t="s">
        <v>9</v>
      </c>
      <c r="D227" s="11" t="s">
        <v>10</v>
      </c>
      <c r="E227" s="46">
        <f>SUM(E228:E231)</f>
        <v>0</v>
      </c>
      <c r="F227" s="46">
        <f>SUM(F228:F231)</f>
        <v>0</v>
      </c>
      <c r="G227" s="46">
        <f>SUM(G228:G231)</f>
        <v>0</v>
      </c>
      <c r="H227" s="98">
        <f>SUM(H228:H231)</f>
        <v>0.28999999999999998</v>
      </c>
      <c r="K227" s="9" t="s">
        <v>8</v>
      </c>
      <c r="L227" s="10" t="s">
        <v>9</v>
      </c>
      <c r="M227" s="11" t="s">
        <v>10</v>
      </c>
      <c r="N227" s="46">
        <f>SUM(N228:N231)</f>
        <v>0</v>
      </c>
      <c r="O227" s="46">
        <f>SUM(O228:O231)</f>
        <v>0</v>
      </c>
      <c r="P227" s="46">
        <f>SUM(P228:P231)</f>
        <v>0</v>
      </c>
      <c r="Q227" s="98">
        <f>SUM(Q228:Q231)</f>
        <v>0</v>
      </c>
      <c r="T227" s="9" t="s">
        <v>8</v>
      </c>
      <c r="U227" s="10" t="s">
        <v>9</v>
      </c>
      <c r="V227" s="11" t="s">
        <v>10</v>
      </c>
      <c r="W227" s="98">
        <f t="shared" ref="W227:AB227" si="96">SUM(W228:W231)</f>
        <v>0</v>
      </c>
      <c r="X227" s="98">
        <f t="shared" si="96"/>
        <v>0</v>
      </c>
      <c r="Y227" s="98">
        <f t="shared" si="96"/>
        <v>0</v>
      </c>
      <c r="Z227" s="98">
        <f t="shared" si="96"/>
        <v>0</v>
      </c>
      <c r="AA227" s="98">
        <f t="shared" si="96"/>
        <v>0.28999999999999998</v>
      </c>
      <c r="AB227" s="98">
        <f t="shared" si="96"/>
        <v>-0.28999999999999998</v>
      </c>
      <c r="AC227" s="183"/>
      <c r="AK227" s="183"/>
      <c r="AL227" s="183"/>
      <c r="AM227" s="183"/>
      <c r="AN227" s="183"/>
    </row>
    <row r="228" spans="2:40" x14ac:dyDescent="0.25">
      <c r="B228" s="12" t="s">
        <v>11</v>
      </c>
      <c r="C228" s="13" t="s">
        <v>12</v>
      </c>
      <c r="D228" s="3" t="s">
        <v>10</v>
      </c>
      <c r="E228" s="49">
        <v>0</v>
      </c>
      <c r="F228" s="49">
        <f>IF(YEAR(Postup!$H$25)&gt;$D$214,Provozování!Y23,IF(AND(DAY(Postup!$H$25)=31,MONTH(Postup!$H$25)=12,YEAR(Postup!$H$25)=$D$214),Provozování!Y23,IF(YEAR(Postup!$H$25)=$D$214,Provozování!$BL23,0)))</f>
        <v>0</v>
      </c>
      <c r="G228" s="49">
        <v>0</v>
      </c>
      <c r="H228" s="442">
        <v>0</v>
      </c>
      <c r="K228" s="12" t="s">
        <v>11</v>
      </c>
      <c r="L228" s="13" t="s">
        <v>12</v>
      </c>
      <c r="M228" s="3" t="s">
        <v>10</v>
      </c>
      <c r="N228" s="49">
        <v>0</v>
      </c>
      <c r="O228" s="49">
        <f>IF(Provozování!$AA$16="Neaktivní",0,Provozování!AA23)</f>
        <v>0</v>
      </c>
      <c r="P228" s="49">
        <v>0</v>
      </c>
      <c r="Q228" s="442">
        <v>0</v>
      </c>
      <c r="T228" s="12" t="s">
        <v>11</v>
      </c>
      <c r="U228" s="13" t="s">
        <v>12</v>
      </c>
      <c r="V228" s="3" t="s">
        <v>10</v>
      </c>
      <c r="W228" s="595">
        <v>0</v>
      </c>
      <c r="X228" s="49">
        <f>IF(Provozování!$AA$16="Neaktivní",F228,F228*Výpočty!$K$58+O228)</f>
        <v>0</v>
      </c>
      <c r="Y228" s="49">
        <f>W228-X228</f>
        <v>0</v>
      </c>
      <c r="Z228" s="445">
        <v>0</v>
      </c>
      <c r="AA228" s="445">
        <v>0</v>
      </c>
      <c r="AB228" s="442">
        <v>0</v>
      </c>
      <c r="AC228" s="183"/>
      <c r="AK228" s="183"/>
      <c r="AL228" s="183"/>
      <c r="AM228" s="183"/>
      <c r="AN228" s="183"/>
    </row>
    <row r="229" spans="2:40" x14ac:dyDescent="0.25">
      <c r="B229" s="12" t="s">
        <v>13</v>
      </c>
      <c r="C229" s="12" t="s">
        <v>14</v>
      </c>
      <c r="D229" s="3" t="s">
        <v>10</v>
      </c>
      <c r="E229" s="58">
        <v>0</v>
      </c>
      <c r="F229" s="49">
        <f>IF(YEAR(Postup!$H$25)&gt;$D$214,Provozování!Y24,IF(AND(DAY(Postup!$H$25)=31,MONTH(Postup!$H$25)=12,YEAR(Postup!$H$25)=$D$214),Provozování!Y24,IF(YEAR(Postup!$H$25)=$D$214,Provozování!$BL24,0)))</f>
        <v>0</v>
      </c>
      <c r="G229" s="58">
        <v>0</v>
      </c>
      <c r="H229" s="32">
        <f>IF(YEAR(Postup!$H$25)&gt;$D$214,Provozování!Z24,IF(AND(DAY(Postup!$H$25)=31,MONTH(Postup!$H$25)=12,YEAR(Postup!$H$25)=$D$214),Provozování!Z24,IF(YEAR(Postup!$H$25)=$D$214,Provozování!$BM24,0)))</f>
        <v>0.28999999999999998</v>
      </c>
      <c r="K229" s="12" t="s">
        <v>13</v>
      </c>
      <c r="L229" s="12" t="s">
        <v>14</v>
      </c>
      <c r="M229" s="3" t="s">
        <v>10</v>
      </c>
      <c r="N229" s="58">
        <v>0</v>
      </c>
      <c r="O229" s="49">
        <f>IF(Provozování!$AA$16="Neaktivní",0,Provozování!AA24)</f>
        <v>0</v>
      </c>
      <c r="P229" s="58">
        <v>0</v>
      </c>
      <c r="Q229" s="59">
        <f>IF(Provozování!$AA$16="Neaktivní",0,Provozování!AB24)</f>
        <v>0</v>
      </c>
      <c r="T229" s="12" t="s">
        <v>13</v>
      </c>
      <c r="U229" s="12" t="s">
        <v>14</v>
      </c>
      <c r="V229" s="3" t="s">
        <v>10</v>
      </c>
      <c r="W229" s="596">
        <v>0</v>
      </c>
      <c r="X229" s="49">
        <f>IF(Provozování!$AA$16="Neaktivní",F229,F229*Výpočty!$K$58+O229)</f>
        <v>0</v>
      </c>
      <c r="Y229" s="49">
        <f t="shared" ref="Y229:Y231" si="97">W229-X229</f>
        <v>0</v>
      </c>
      <c r="Z229" s="596">
        <v>0</v>
      </c>
      <c r="AA229" s="49">
        <f>IF(Provozování!$AA$16="Neaktivní",H229,H229*Výpočty!$K$58+Q229)</f>
        <v>0.28999999999999998</v>
      </c>
      <c r="AB229" s="32">
        <f t="shared" ref="AB229:AB231" si="98">Z229-AA229</f>
        <v>-0.28999999999999998</v>
      </c>
      <c r="AC229" s="183"/>
      <c r="AK229" s="183"/>
      <c r="AL229" s="183"/>
      <c r="AM229" s="183"/>
      <c r="AN229" s="183"/>
    </row>
    <row r="230" spans="2:40" x14ac:dyDescent="0.25">
      <c r="B230" s="12" t="s">
        <v>15</v>
      </c>
      <c r="C230" s="13" t="s">
        <v>16</v>
      </c>
      <c r="D230" s="3" t="s">
        <v>10</v>
      </c>
      <c r="E230" s="32">
        <v>0</v>
      </c>
      <c r="F230" s="589">
        <f>IF(YEAR(Postup!$H$25)&gt;$D$214,Provozování!Y25,IF(AND(DAY(Postup!$H$25)=31,MONTH(Postup!$H$25)=12,YEAR(Postup!$H$25)=$D$214),Provozování!Y25,IF(YEAR(Postup!$H$25)=$D$214,Provozování!$BL25,0)))</f>
        <v>0</v>
      </c>
      <c r="G230" s="32">
        <v>0</v>
      </c>
      <c r="H230" s="590">
        <f>IF(YEAR(Postup!$H$25)&gt;$D$214,Provozování!Z25,IF(AND(DAY(Postup!$H$25)=31,MONTH(Postup!$H$25)=12,YEAR(Postup!$H$25)=$D$214),Provozování!Z25,IF(YEAR(Postup!$H$25)=$D$214,Provozování!$BM25,0)))</f>
        <v>0</v>
      </c>
      <c r="K230" s="12" t="s">
        <v>15</v>
      </c>
      <c r="L230" s="13" t="s">
        <v>16</v>
      </c>
      <c r="M230" s="3" t="s">
        <v>10</v>
      </c>
      <c r="N230" s="32">
        <v>0</v>
      </c>
      <c r="O230" s="444">
        <f>IF(Provozování!$AA$16="Neaktivní",0,Provozování!AA25)</f>
        <v>0</v>
      </c>
      <c r="P230" s="32">
        <v>0</v>
      </c>
      <c r="Q230" s="443">
        <f>IF(Provozování!$AA$16="Neaktivní",0,Provozování!AB25)</f>
        <v>0</v>
      </c>
      <c r="T230" s="12" t="s">
        <v>15</v>
      </c>
      <c r="U230" s="13" t="s">
        <v>16</v>
      </c>
      <c r="V230" s="3" t="s">
        <v>10</v>
      </c>
      <c r="W230" s="597">
        <v>0</v>
      </c>
      <c r="X230" s="49">
        <f>IF(Provozování!$AA$16="Neaktivní",F230,F230*Výpočty!$K$58+O230)</f>
        <v>0</v>
      </c>
      <c r="Y230" s="49">
        <f t="shared" si="97"/>
        <v>0</v>
      </c>
      <c r="Z230" s="597">
        <v>0</v>
      </c>
      <c r="AA230" s="49">
        <f>IF(Provozování!$AA$16="Neaktivní",H230,H230*Výpočty!$K$58+Q230)</f>
        <v>0</v>
      </c>
      <c r="AB230" s="32">
        <f t="shared" si="98"/>
        <v>0</v>
      </c>
      <c r="AC230" s="183"/>
      <c r="AK230" s="183"/>
      <c r="AL230" s="183"/>
      <c r="AM230" s="183"/>
      <c r="AN230" s="183"/>
    </row>
    <row r="231" spans="2:40" x14ac:dyDescent="0.25">
      <c r="B231" s="12" t="s">
        <v>17</v>
      </c>
      <c r="C231" s="13" t="s">
        <v>18</v>
      </c>
      <c r="D231" s="3" t="s">
        <v>10</v>
      </c>
      <c r="E231" s="99">
        <v>0</v>
      </c>
      <c r="F231" s="589">
        <f>IF(YEAR(Postup!$H$25)&gt;$D$214,Provozování!Y26,IF(AND(DAY(Postup!$H$25)=31,MONTH(Postup!$H$25)=12,YEAR(Postup!$H$25)=$D$214),Provozování!Y26,IF(YEAR(Postup!$H$25)=$D$214,Provozování!$BL26,0)))</f>
        <v>0</v>
      </c>
      <c r="G231" s="99">
        <v>0</v>
      </c>
      <c r="H231" s="590">
        <f>IF(YEAR(Postup!$H$25)&gt;$D$214,Provozování!Z26,IF(AND(DAY(Postup!$H$25)=31,MONTH(Postup!$H$25)=12,YEAR(Postup!$H$25)=$D$214),Provozování!Z26,IF(YEAR(Postup!$H$25)=$D$214,Provozování!$BM26,0)))</f>
        <v>0</v>
      </c>
      <c r="K231" s="12" t="s">
        <v>17</v>
      </c>
      <c r="L231" s="13" t="s">
        <v>18</v>
      </c>
      <c r="M231" s="3" t="s">
        <v>10</v>
      </c>
      <c r="N231" s="99">
        <v>0</v>
      </c>
      <c r="O231" s="444">
        <f>IF(Provozování!$AA$16="Neaktivní",0,Provozování!AA26)</f>
        <v>0</v>
      </c>
      <c r="P231" s="99">
        <v>0</v>
      </c>
      <c r="Q231" s="443">
        <f>IF(Provozování!$AA$16="Neaktivní",0,Provozování!AB26)</f>
        <v>0</v>
      </c>
      <c r="T231" s="12" t="s">
        <v>17</v>
      </c>
      <c r="U231" s="13" t="s">
        <v>18</v>
      </c>
      <c r="V231" s="3" t="s">
        <v>10</v>
      </c>
      <c r="W231" s="598">
        <v>0</v>
      </c>
      <c r="X231" s="49">
        <f>IF(Provozování!$AA$16="Neaktivní",F231,F231*Výpočty!$K$58+O231)</f>
        <v>0</v>
      </c>
      <c r="Y231" s="49">
        <f t="shared" si="97"/>
        <v>0</v>
      </c>
      <c r="Z231" s="598">
        <v>0</v>
      </c>
      <c r="AA231" s="49">
        <f>IF(Provozování!$AA$16="Neaktivní",H231,H231*Výpočty!$K$58+Q231)</f>
        <v>0</v>
      </c>
      <c r="AB231" s="32">
        <f t="shared" si="98"/>
        <v>0</v>
      </c>
      <c r="AC231" s="183"/>
      <c r="AK231" s="183"/>
      <c r="AL231" s="183"/>
      <c r="AM231" s="183"/>
      <c r="AN231" s="183"/>
    </row>
    <row r="232" spans="2:40" x14ac:dyDescent="0.25">
      <c r="B232" s="9" t="s">
        <v>19</v>
      </c>
      <c r="C232" s="10" t="s">
        <v>20</v>
      </c>
      <c r="D232" s="11" t="s">
        <v>10</v>
      </c>
      <c r="E232" s="100">
        <f>SUM(E233:E234)</f>
        <v>0</v>
      </c>
      <c r="F232" s="100">
        <f>SUM(F233:F234)</f>
        <v>0</v>
      </c>
      <c r="G232" s="100">
        <f>SUM(G233:G234)</f>
        <v>0</v>
      </c>
      <c r="H232" s="98">
        <f>SUM(H233:H234)</f>
        <v>0</v>
      </c>
      <c r="K232" s="9" t="s">
        <v>19</v>
      </c>
      <c r="L232" s="10" t="s">
        <v>20</v>
      </c>
      <c r="M232" s="11" t="s">
        <v>10</v>
      </c>
      <c r="N232" s="100">
        <f>SUM(N233:N234)</f>
        <v>0</v>
      </c>
      <c r="O232" s="100">
        <f>SUM(O233:O234)</f>
        <v>0</v>
      </c>
      <c r="P232" s="100">
        <f>SUM(P233:P234)</f>
        <v>0</v>
      </c>
      <c r="Q232" s="98">
        <f>SUM(Q233:Q234)</f>
        <v>0</v>
      </c>
      <c r="T232" s="9" t="s">
        <v>19</v>
      </c>
      <c r="U232" s="10" t="s">
        <v>20</v>
      </c>
      <c r="V232" s="11" t="s">
        <v>10</v>
      </c>
      <c r="W232" s="98">
        <f t="shared" ref="W232:AB232" si="99">SUM(W233:W234)</f>
        <v>0</v>
      </c>
      <c r="X232" s="98">
        <f t="shared" si="99"/>
        <v>0</v>
      </c>
      <c r="Y232" s="98">
        <f t="shared" si="99"/>
        <v>0</v>
      </c>
      <c r="Z232" s="98">
        <f t="shared" si="99"/>
        <v>0</v>
      </c>
      <c r="AA232" s="98">
        <f t="shared" si="99"/>
        <v>0</v>
      </c>
      <c r="AB232" s="98">
        <f t="shared" si="99"/>
        <v>0</v>
      </c>
      <c r="AC232" s="183"/>
      <c r="AK232" s="183"/>
      <c r="AL232" s="183"/>
      <c r="AM232" s="183"/>
      <c r="AN232" s="183"/>
    </row>
    <row r="233" spans="2:40" x14ac:dyDescent="0.25">
      <c r="B233" s="12" t="s">
        <v>21</v>
      </c>
      <c r="C233" s="12" t="s">
        <v>22</v>
      </c>
      <c r="D233" s="3" t="s">
        <v>10</v>
      </c>
      <c r="E233" s="32">
        <v>0</v>
      </c>
      <c r="F233" s="589">
        <f>IF(YEAR(Postup!$H$25)&gt;$D$214,Provozování!Y28,IF(AND(DAY(Postup!$H$25)=31,MONTH(Postup!$H$25)=12,YEAR(Postup!$H$25)=$D$214),Provozování!Y28,IF(YEAR(Postup!$H$25)=$D$214,Provozování!$BL28,0)))</f>
        <v>0</v>
      </c>
      <c r="G233" s="32">
        <v>0</v>
      </c>
      <c r="H233" s="590">
        <f>IF(YEAR(Postup!$H$25)&gt;$D$214,Provozování!Z28,IF(AND(DAY(Postup!$H$25)=31,MONTH(Postup!$H$25)=12,YEAR(Postup!$H$25)=$D$214),Provozování!Z28,IF(YEAR(Postup!$H$25)=$D$214,Provozování!$BM28,0)))</f>
        <v>0</v>
      </c>
      <c r="K233" s="12" t="s">
        <v>21</v>
      </c>
      <c r="L233" s="12" t="s">
        <v>22</v>
      </c>
      <c r="M233" s="3" t="s">
        <v>10</v>
      </c>
      <c r="N233" s="32">
        <v>0</v>
      </c>
      <c r="O233" s="444">
        <f>IF(Provozování!$AA$16="Neaktivní",0,Provozování!AA28)</f>
        <v>0</v>
      </c>
      <c r="P233" s="32">
        <v>0</v>
      </c>
      <c r="Q233" s="443">
        <f>IF(Provozování!$AA$16="Neaktivní",0,Provozování!AB28)</f>
        <v>0</v>
      </c>
      <c r="T233" s="12" t="s">
        <v>21</v>
      </c>
      <c r="U233" s="12" t="s">
        <v>22</v>
      </c>
      <c r="V233" s="3" t="s">
        <v>10</v>
      </c>
      <c r="W233" s="595">
        <v>0</v>
      </c>
      <c r="X233" s="49">
        <f>IF(Provozování!$AA$16="Neaktivní",F233,F233*Výpočty!$K$58+O233)</f>
        <v>0</v>
      </c>
      <c r="Y233" s="49">
        <f t="shared" ref="Y233:Y234" si="100">W233-X233</f>
        <v>0</v>
      </c>
      <c r="Z233" s="597">
        <v>0</v>
      </c>
      <c r="AA233" s="49">
        <f>IF(Provozování!$AA$16="Neaktivní",H233,H233*Výpočty!$K$58+Q233)</f>
        <v>0</v>
      </c>
      <c r="AB233" s="32">
        <f t="shared" ref="AB233:AB234" si="101">Z233-AA233</f>
        <v>0</v>
      </c>
      <c r="AC233" s="183"/>
      <c r="AK233" s="183"/>
      <c r="AL233" s="183"/>
      <c r="AM233" s="183"/>
      <c r="AN233" s="183"/>
    </row>
    <row r="234" spans="2:40" x14ac:dyDescent="0.25">
      <c r="B234" s="12" t="s">
        <v>23</v>
      </c>
      <c r="C234" s="12" t="s">
        <v>24</v>
      </c>
      <c r="D234" s="3" t="s">
        <v>10</v>
      </c>
      <c r="E234" s="99">
        <v>0</v>
      </c>
      <c r="F234" s="589">
        <f>IF(YEAR(Postup!$H$25)&gt;$D$214,Provozování!Y29,IF(AND(DAY(Postup!$H$25)=31,MONTH(Postup!$H$25)=12,YEAR(Postup!$H$25)=$D$214),Provozování!Y29,IF(YEAR(Postup!$H$25)=$D$214,Provozování!$BL29,0)))</f>
        <v>0</v>
      </c>
      <c r="G234" s="99">
        <v>0</v>
      </c>
      <c r="H234" s="590">
        <f>IF(YEAR(Postup!$H$25)&gt;$D$214,Provozování!Z29,IF(AND(DAY(Postup!$H$25)=31,MONTH(Postup!$H$25)=12,YEAR(Postup!$H$25)=$D$214),Provozování!Z29,IF(YEAR(Postup!$H$25)=$D$214,Provozování!$BM29,0)))</f>
        <v>0</v>
      </c>
      <c r="K234" s="12" t="s">
        <v>23</v>
      </c>
      <c r="L234" s="12" t="s">
        <v>24</v>
      </c>
      <c r="M234" s="3" t="s">
        <v>10</v>
      </c>
      <c r="N234" s="99">
        <v>0</v>
      </c>
      <c r="O234" s="444">
        <f>IF(Provozování!$AA$16="Neaktivní",0,Provozování!AA29)</f>
        <v>0</v>
      </c>
      <c r="P234" s="99">
        <v>0</v>
      </c>
      <c r="Q234" s="443">
        <f>IF(Provozování!$AA$16="Neaktivní",0,Provozování!AB29)</f>
        <v>0</v>
      </c>
      <c r="T234" s="12" t="s">
        <v>23</v>
      </c>
      <c r="U234" s="12" t="s">
        <v>24</v>
      </c>
      <c r="V234" s="3" t="s">
        <v>10</v>
      </c>
      <c r="W234" s="596">
        <v>0</v>
      </c>
      <c r="X234" s="49">
        <f>IF(Provozování!$AA$16="Neaktivní",F234,F234*Výpočty!$K$58+O234)</f>
        <v>0</v>
      </c>
      <c r="Y234" s="49">
        <f t="shared" si="100"/>
        <v>0</v>
      </c>
      <c r="Z234" s="598">
        <v>0</v>
      </c>
      <c r="AA234" s="49">
        <f>IF(Provozování!$AA$16="Neaktivní",H234,H234*Výpočty!$K$58+Q234)</f>
        <v>0</v>
      </c>
      <c r="AB234" s="32">
        <f t="shared" si="101"/>
        <v>0</v>
      </c>
      <c r="AC234" s="183"/>
      <c r="AK234" s="183"/>
      <c r="AL234" s="183"/>
      <c r="AM234" s="183"/>
      <c r="AN234" s="183"/>
    </row>
    <row r="235" spans="2:40" x14ac:dyDescent="0.25">
      <c r="B235" s="9" t="s">
        <v>25</v>
      </c>
      <c r="C235" s="10" t="s">
        <v>26</v>
      </c>
      <c r="D235" s="11" t="s">
        <v>10</v>
      </c>
      <c r="E235" s="46">
        <f>SUM(E236:E237)</f>
        <v>0</v>
      </c>
      <c r="F235" s="46">
        <f>SUM(F236:F237)</f>
        <v>0</v>
      </c>
      <c r="G235" s="46">
        <f>SUM(G236:G237)</f>
        <v>0</v>
      </c>
      <c r="H235" s="98">
        <f>SUM(H236:H237)</f>
        <v>0</v>
      </c>
      <c r="K235" s="9" t="s">
        <v>25</v>
      </c>
      <c r="L235" s="10" t="s">
        <v>26</v>
      </c>
      <c r="M235" s="11" t="s">
        <v>10</v>
      </c>
      <c r="N235" s="46">
        <f>SUM(N236:N237)</f>
        <v>0</v>
      </c>
      <c r="O235" s="46">
        <f>SUM(O236:O237)</f>
        <v>0</v>
      </c>
      <c r="P235" s="46">
        <f>SUM(P236:P237)</f>
        <v>0</v>
      </c>
      <c r="Q235" s="98">
        <f>SUM(Q236:Q237)</f>
        <v>0</v>
      </c>
      <c r="T235" s="9" t="s">
        <v>25</v>
      </c>
      <c r="U235" s="10" t="s">
        <v>26</v>
      </c>
      <c r="V235" s="11" t="s">
        <v>10</v>
      </c>
      <c r="W235" s="98">
        <f t="shared" ref="W235:AB235" si="102">SUM(W236:W237)</f>
        <v>0</v>
      </c>
      <c r="X235" s="98">
        <f t="shared" si="102"/>
        <v>0</v>
      </c>
      <c r="Y235" s="98">
        <f t="shared" si="102"/>
        <v>0</v>
      </c>
      <c r="Z235" s="98">
        <f t="shared" si="102"/>
        <v>0</v>
      </c>
      <c r="AA235" s="98">
        <f t="shared" si="102"/>
        <v>0</v>
      </c>
      <c r="AB235" s="98">
        <f t="shared" si="102"/>
        <v>0</v>
      </c>
      <c r="AC235" s="183"/>
      <c r="AD235" s="183"/>
      <c r="AK235" s="183"/>
      <c r="AL235" s="183"/>
      <c r="AM235" s="183"/>
      <c r="AN235" s="183"/>
    </row>
    <row r="236" spans="2:40" x14ac:dyDescent="0.25">
      <c r="B236" s="12" t="s">
        <v>27</v>
      </c>
      <c r="C236" s="13" t="s">
        <v>28</v>
      </c>
      <c r="D236" s="3" t="s">
        <v>10</v>
      </c>
      <c r="E236" s="49">
        <v>0</v>
      </c>
      <c r="F236" s="589">
        <f>IF(YEAR(Postup!$H$25)&gt;$D$214,Provozování!Y31,IF(AND(DAY(Postup!$H$25)=31,MONTH(Postup!$H$25)=12,YEAR(Postup!$H$25)=$D$214),Provozování!Y31,IF(YEAR(Postup!$H$25)=$D$214,Provozování!$BL31,0)))</f>
        <v>0</v>
      </c>
      <c r="G236" s="49">
        <v>0</v>
      </c>
      <c r="H236" s="590">
        <f>IF(YEAR(Postup!$H$25)&gt;$D$214,Provozování!Z31,IF(AND(DAY(Postup!$H$25)=31,MONTH(Postup!$H$25)=12,YEAR(Postup!$H$25)=$D$214),Provozování!Z31,IF(YEAR(Postup!$H$25)=$D$214,Provozování!$BM31,0)))</f>
        <v>0</v>
      </c>
      <c r="K236" s="12" t="s">
        <v>27</v>
      </c>
      <c r="L236" s="13" t="s">
        <v>28</v>
      </c>
      <c r="M236" s="3" t="s">
        <v>10</v>
      </c>
      <c r="N236" s="49">
        <v>0</v>
      </c>
      <c r="O236" s="444">
        <f>IF(Provozování!$AA$16="Neaktivní",0,Provozování!AA31)</f>
        <v>0</v>
      </c>
      <c r="P236" s="49">
        <v>0</v>
      </c>
      <c r="Q236" s="443">
        <f>IF(Provozování!$AA$16="Neaktivní",0,Provozování!AB31)</f>
        <v>0</v>
      </c>
      <c r="T236" s="12" t="s">
        <v>27</v>
      </c>
      <c r="U236" s="13" t="s">
        <v>28</v>
      </c>
      <c r="V236" s="3" t="s">
        <v>10</v>
      </c>
      <c r="W236" s="595">
        <v>0</v>
      </c>
      <c r="X236" s="49">
        <f>IF(Provozování!$AA$16="Neaktivní",F236,F236*Výpočty!$K$58+O236)</f>
        <v>0</v>
      </c>
      <c r="Y236" s="49">
        <f t="shared" ref="Y236:Y237" si="103">W236-X236</f>
        <v>0</v>
      </c>
      <c r="Z236" s="595">
        <v>0</v>
      </c>
      <c r="AA236" s="49">
        <f>IF(Provozování!$AA$16="Neaktivní",H236,H236*Výpočty!$K$58+Q236)</f>
        <v>0</v>
      </c>
      <c r="AB236" s="32">
        <f t="shared" ref="AB236:AB237" si="104">Z236-AA236</f>
        <v>0</v>
      </c>
      <c r="AC236" s="183"/>
      <c r="AD236" s="183"/>
      <c r="AK236" s="183"/>
      <c r="AL236" s="183"/>
      <c r="AM236" s="183"/>
      <c r="AN236" s="183"/>
    </row>
    <row r="237" spans="2:40" x14ac:dyDescent="0.25">
      <c r="B237" s="12" t="s">
        <v>29</v>
      </c>
      <c r="C237" s="13" t="s">
        <v>30</v>
      </c>
      <c r="D237" s="3" t="s">
        <v>10</v>
      </c>
      <c r="E237" s="49">
        <v>0</v>
      </c>
      <c r="F237" s="589">
        <f>IF(YEAR(Postup!$H$25)&gt;$D$214,Provozování!Y32,IF(AND(DAY(Postup!$H$25)=31,MONTH(Postup!$H$25)=12,YEAR(Postup!$H$25)=$D$214),Provozování!Y32,IF(YEAR(Postup!$H$25)=$D$214,Provozování!$BL32,0)))</f>
        <v>0</v>
      </c>
      <c r="G237" s="49">
        <v>0</v>
      </c>
      <c r="H237" s="590">
        <f>IF(YEAR(Postup!$H$25)&gt;$D$214,Provozování!Z32,IF(AND(DAY(Postup!$H$25)=31,MONTH(Postup!$H$25)=12,YEAR(Postup!$H$25)=$D$214),Provozování!Z32,IF(YEAR(Postup!$H$25)=$D$214,Provozování!$BM32,0)))</f>
        <v>0</v>
      </c>
      <c r="K237" s="12" t="s">
        <v>29</v>
      </c>
      <c r="L237" s="13" t="s">
        <v>30</v>
      </c>
      <c r="M237" s="3" t="s">
        <v>10</v>
      </c>
      <c r="N237" s="49">
        <v>0</v>
      </c>
      <c r="O237" s="444">
        <f>IF(Provozování!$AA$16="Neaktivní",0,Provozování!AA32)</f>
        <v>0</v>
      </c>
      <c r="P237" s="49">
        <v>0</v>
      </c>
      <c r="Q237" s="443">
        <f>IF(Provozování!$AA$16="Neaktivní",0,Provozování!AB32)</f>
        <v>0</v>
      </c>
      <c r="T237" s="12" t="s">
        <v>29</v>
      </c>
      <c r="U237" s="13" t="s">
        <v>30</v>
      </c>
      <c r="V237" s="3" t="s">
        <v>10</v>
      </c>
      <c r="W237" s="595">
        <v>0</v>
      </c>
      <c r="X237" s="49">
        <f>IF(Provozování!$AA$16="Neaktivní",F237,F237*Výpočty!$K$58+O237)</f>
        <v>0</v>
      </c>
      <c r="Y237" s="49">
        <f t="shared" si="103"/>
        <v>0</v>
      </c>
      <c r="Z237" s="595">
        <v>0</v>
      </c>
      <c r="AA237" s="49">
        <f>IF(Provozování!$AA$16="Neaktivní",H237,H237*Výpočty!$K$58+Q237)</f>
        <v>0</v>
      </c>
      <c r="AB237" s="32">
        <f t="shared" si="104"/>
        <v>0</v>
      </c>
      <c r="AC237" s="183"/>
      <c r="AD237" s="183"/>
      <c r="AK237" s="183"/>
      <c r="AL237" s="183"/>
      <c r="AM237" s="183"/>
      <c r="AN237" s="183"/>
    </row>
    <row r="238" spans="2:40" x14ac:dyDescent="0.25">
      <c r="B238" s="9" t="s">
        <v>31</v>
      </c>
      <c r="C238" s="10" t="s">
        <v>32</v>
      </c>
      <c r="D238" s="11" t="s">
        <v>10</v>
      </c>
      <c r="E238" s="46">
        <f>SUM(E239:E242)</f>
        <v>0</v>
      </c>
      <c r="F238" s="46">
        <f>SUM(F239:F242)</f>
        <v>0</v>
      </c>
      <c r="G238" s="46">
        <f>SUM(G239:G242)</f>
        <v>0</v>
      </c>
      <c r="H238" s="98">
        <f>SUM(H239:H242)</f>
        <v>0.15</v>
      </c>
      <c r="K238" s="9" t="s">
        <v>31</v>
      </c>
      <c r="L238" s="10" t="s">
        <v>32</v>
      </c>
      <c r="M238" s="11" t="s">
        <v>10</v>
      </c>
      <c r="N238" s="46">
        <f>SUM(N239:N242)</f>
        <v>0</v>
      </c>
      <c r="O238" s="46">
        <f>SUM(O239:O242)</f>
        <v>0</v>
      </c>
      <c r="P238" s="46">
        <f>SUM(P239:P242)</f>
        <v>0</v>
      </c>
      <c r="Q238" s="98">
        <f>SUM(Q239:Q242)</f>
        <v>0</v>
      </c>
      <c r="T238" s="9" t="s">
        <v>31</v>
      </c>
      <c r="U238" s="10" t="s">
        <v>32</v>
      </c>
      <c r="V238" s="11" t="s">
        <v>10</v>
      </c>
      <c r="W238" s="98">
        <f t="shared" ref="W238:AB238" si="105">SUM(W239:W242)</f>
        <v>0</v>
      </c>
      <c r="X238" s="98">
        <f t="shared" si="105"/>
        <v>0</v>
      </c>
      <c r="Y238" s="98">
        <f t="shared" si="105"/>
        <v>0</v>
      </c>
      <c r="Z238" s="98">
        <f t="shared" si="105"/>
        <v>0</v>
      </c>
      <c r="AA238" s="98">
        <f t="shared" si="105"/>
        <v>0.15</v>
      </c>
      <c r="AB238" s="98">
        <f t="shared" si="105"/>
        <v>-0.15</v>
      </c>
      <c r="AC238" s="183"/>
      <c r="AD238" s="183"/>
      <c r="AK238" s="183"/>
      <c r="AL238" s="183"/>
      <c r="AM238" s="183"/>
      <c r="AN238" s="183"/>
    </row>
    <row r="239" spans="2:40" x14ac:dyDescent="0.25">
      <c r="B239" s="12" t="s">
        <v>33</v>
      </c>
      <c r="C239" s="21" t="s">
        <v>34</v>
      </c>
      <c r="D239" s="3" t="s">
        <v>10</v>
      </c>
      <c r="E239" s="49">
        <v>0</v>
      </c>
      <c r="F239" s="49">
        <f>IF(YEAR(Postup!$H$25)&gt;$D$214,Provozování!Y34,IF(AND(DAY(Postup!$H$25)=31,MONTH(Postup!$H$25)=12,YEAR(Postup!$H$25)=$D$214),Provozování!Y34,IF(YEAR(Postup!$H$25)=$D$214,Provozování!$BL34,0)))</f>
        <v>0</v>
      </c>
      <c r="G239" s="49">
        <v>0</v>
      </c>
      <c r="H239" s="32">
        <f>IF(YEAR(Postup!$H$25)&gt;$D$214,Provozování!Z34,IF(AND(DAY(Postup!$H$25)=31,MONTH(Postup!$H$25)=12,YEAR(Postup!$H$25)=$D$214),Provozování!Z34,IF(YEAR(Postup!$H$25)=$D$214,Provozování!$BM34,0)))</f>
        <v>0</v>
      </c>
      <c r="K239" s="12" t="s">
        <v>33</v>
      </c>
      <c r="L239" s="21" t="s">
        <v>34</v>
      </c>
      <c r="M239" s="3" t="s">
        <v>10</v>
      </c>
      <c r="N239" s="49">
        <v>0</v>
      </c>
      <c r="O239" s="49">
        <f>IF(Provozování!$AA$16="Neaktivní",0,Provozování!AA34)</f>
        <v>0</v>
      </c>
      <c r="P239" s="49">
        <v>0</v>
      </c>
      <c r="Q239" s="59">
        <f>IF(Provozování!$AA$16="Neaktivní",0,Provozování!AB34)</f>
        <v>0</v>
      </c>
      <c r="T239" s="12" t="s">
        <v>33</v>
      </c>
      <c r="U239" s="21" t="s">
        <v>34</v>
      </c>
      <c r="V239" s="3" t="s">
        <v>10</v>
      </c>
      <c r="W239" s="595">
        <v>0</v>
      </c>
      <c r="X239" s="49">
        <f>IF(Provozování!$AA$16="Neaktivní",F239,F239*Výpočty!$K$58+O239)</f>
        <v>0</v>
      </c>
      <c r="Y239" s="49">
        <f t="shared" ref="Y239:Y241" si="106">W239-X239</f>
        <v>0</v>
      </c>
      <c r="Z239" s="595">
        <v>0</v>
      </c>
      <c r="AA239" s="49">
        <f>IF(Provozování!$AA$16="Neaktivní",H239,H239*Výpočty!$K$58+Q239)</f>
        <v>0</v>
      </c>
      <c r="AB239" s="32">
        <f t="shared" ref="AB239:AB241" si="107">Z239-AA239</f>
        <v>0</v>
      </c>
      <c r="AC239" s="183"/>
      <c r="AD239" s="183"/>
      <c r="AK239" s="183"/>
      <c r="AL239" s="183"/>
      <c r="AM239" s="183"/>
      <c r="AN239" s="183"/>
    </row>
    <row r="240" spans="2:40" x14ac:dyDescent="0.25">
      <c r="B240" s="12" t="s">
        <v>35</v>
      </c>
      <c r="C240" s="13" t="s">
        <v>36</v>
      </c>
      <c r="D240" s="3" t="s">
        <v>10</v>
      </c>
      <c r="E240" s="49">
        <v>0</v>
      </c>
      <c r="F240" s="589">
        <f>IF(YEAR(Postup!$H$25)&gt;$D$214,Provozování!Y35,IF(AND(DAY(Postup!$H$25)=31,MONTH(Postup!$H$25)=12,YEAR(Postup!$H$25)=$D$214),Provozování!Y35,IF(YEAR(Postup!$H$25)=$D$214,Provozování!$BL35,0)))</f>
        <v>0</v>
      </c>
      <c r="G240" s="49">
        <v>0</v>
      </c>
      <c r="H240" s="590">
        <f>IF(YEAR(Postup!$H$25)&gt;$D$214,Provozování!Z35,IF(AND(DAY(Postup!$H$25)=31,MONTH(Postup!$H$25)=12,YEAR(Postup!$H$25)=$D$214),Provozování!Z35,IF(YEAR(Postup!$H$25)=$D$214,Provozování!$BM35,0)))</f>
        <v>0</v>
      </c>
      <c r="K240" s="12" t="s">
        <v>35</v>
      </c>
      <c r="L240" s="13" t="s">
        <v>36</v>
      </c>
      <c r="M240" s="3" t="s">
        <v>10</v>
      </c>
      <c r="N240" s="49">
        <v>0</v>
      </c>
      <c r="O240" s="444">
        <f>IF(Provozování!$AA$16="Neaktivní",0,Provozování!AA35)</f>
        <v>0</v>
      </c>
      <c r="P240" s="49">
        <v>0</v>
      </c>
      <c r="Q240" s="450">
        <f>IF(Provozování!$AA$16="Neaktivní",0,Provozování!AB35)</f>
        <v>0</v>
      </c>
      <c r="T240" s="12" t="s">
        <v>35</v>
      </c>
      <c r="U240" s="13" t="s">
        <v>36</v>
      </c>
      <c r="V240" s="3" t="s">
        <v>10</v>
      </c>
      <c r="W240" s="595">
        <v>0</v>
      </c>
      <c r="X240" s="49">
        <f>IF(Provozování!$AA$16="Neaktivní",F240,F240*Výpočty!$K$58+O240)</f>
        <v>0</v>
      </c>
      <c r="Y240" s="49">
        <f t="shared" si="106"/>
        <v>0</v>
      </c>
      <c r="Z240" s="595">
        <v>0</v>
      </c>
      <c r="AA240" s="49">
        <f>IF(Provozování!$AA$16="Neaktivní",H240,H240*Výpočty!$K$58+Q240)</f>
        <v>0</v>
      </c>
      <c r="AB240" s="32">
        <f t="shared" si="107"/>
        <v>0</v>
      </c>
      <c r="AC240" s="183"/>
      <c r="AD240" s="183"/>
      <c r="AK240" s="183"/>
      <c r="AL240" s="183"/>
      <c r="AM240" s="183"/>
      <c r="AN240" s="183"/>
    </row>
    <row r="241" spans="2:40" x14ac:dyDescent="0.25">
      <c r="B241" s="12" t="s">
        <v>37</v>
      </c>
      <c r="C241" s="13" t="s">
        <v>38</v>
      </c>
      <c r="D241" s="3" t="s">
        <v>10</v>
      </c>
      <c r="E241" s="49">
        <v>0</v>
      </c>
      <c r="F241" s="49">
        <f>IF(YEAR(Postup!$H$25)&gt;$D$214,Provozování!Y36,IF(AND(DAY(Postup!$H$25)=31,MONTH(Postup!$H$25)=12,YEAR(Postup!$H$25)=$D$214),Provozování!Y36,IF(YEAR(Postup!$H$25)=$D$214,Provozování!$BL36,0)))</f>
        <v>0</v>
      </c>
      <c r="G241" s="49">
        <v>0</v>
      </c>
      <c r="H241" s="32">
        <f>IF(YEAR(Postup!$H$25)&gt;$D$214,Provozování!Z36,IF(AND(DAY(Postup!$H$25)=31,MONTH(Postup!$H$25)=12,YEAR(Postup!$H$25)=$D$214),Provozování!Z36,IF(YEAR(Postup!$H$25)=$D$214,Provozování!$BM36,0)))</f>
        <v>0.15</v>
      </c>
      <c r="K241" s="12" t="s">
        <v>37</v>
      </c>
      <c r="L241" s="13" t="s">
        <v>38</v>
      </c>
      <c r="M241" s="3" t="s">
        <v>10</v>
      </c>
      <c r="N241" s="49">
        <v>0</v>
      </c>
      <c r="O241" s="49">
        <f>IF(Provozování!$AA$16="Neaktivní",0,Provozování!AA36)</f>
        <v>0</v>
      </c>
      <c r="P241" s="49">
        <v>0</v>
      </c>
      <c r="Q241" s="59">
        <f>IF(Provozování!$AA$16="Neaktivní",0,Provozování!AB36)</f>
        <v>0</v>
      </c>
      <c r="T241" s="12" t="s">
        <v>37</v>
      </c>
      <c r="U241" s="13" t="s">
        <v>38</v>
      </c>
      <c r="V241" s="3" t="s">
        <v>10</v>
      </c>
      <c r="W241" s="595">
        <v>0</v>
      </c>
      <c r="X241" s="49">
        <f>IF(Provozování!$AA$16="Neaktivní",F241,F241*Výpočty!$K$58+O241)</f>
        <v>0</v>
      </c>
      <c r="Y241" s="49">
        <f t="shared" si="106"/>
        <v>0</v>
      </c>
      <c r="Z241" s="595">
        <v>0</v>
      </c>
      <c r="AA241" s="49">
        <f>IF(Provozování!$AA$16="Neaktivní",H241,H241*Výpočty!$K$58+Q241)</f>
        <v>0.15</v>
      </c>
      <c r="AB241" s="32">
        <f t="shared" si="107"/>
        <v>-0.15</v>
      </c>
      <c r="AC241" s="183"/>
      <c r="AD241" s="183"/>
      <c r="AK241" s="183"/>
      <c r="AL241" s="183"/>
      <c r="AM241" s="183"/>
      <c r="AN241" s="183"/>
    </row>
    <row r="242" spans="2:40" x14ac:dyDescent="0.25">
      <c r="B242" s="12" t="s">
        <v>39</v>
      </c>
      <c r="C242" s="21" t="s">
        <v>40</v>
      </c>
      <c r="D242" s="3" t="s">
        <v>10</v>
      </c>
      <c r="E242" s="49">
        <v>0</v>
      </c>
      <c r="F242" s="445">
        <v>0</v>
      </c>
      <c r="G242" s="49">
        <v>0</v>
      </c>
      <c r="H242" s="442">
        <v>0</v>
      </c>
      <c r="K242" s="12" t="s">
        <v>39</v>
      </c>
      <c r="L242" s="21" t="s">
        <v>40</v>
      </c>
      <c r="M242" s="3" t="s">
        <v>10</v>
      </c>
      <c r="N242" s="49">
        <v>0</v>
      </c>
      <c r="O242" s="445">
        <v>0</v>
      </c>
      <c r="P242" s="49">
        <v>0</v>
      </c>
      <c r="Q242" s="442">
        <v>0</v>
      </c>
      <c r="T242" s="12" t="s">
        <v>39</v>
      </c>
      <c r="U242" s="21" t="s">
        <v>40</v>
      </c>
      <c r="V242" s="3" t="s">
        <v>10</v>
      </c>
      <c r="W242" s="445">
        <v>0</v>
      </c>
      <c r="X242" s="445">
        <v>0</v>
      </c>
      <c r="Y242" s="445">
        <v>0</v>
      </c>
      <c r="Z242" s="445">
        <v>0</v>
      </c>
      <c r="AA242" s="445">
        <v>0</v>
      </c>
      <c r="AB242" s="442">
        <v>0</v>
      </c>
      <c r="AC242" s="183"/>
      <c r="AD242" s="183"/>
      <c r="AK242" s="183"/>
      <c r="AL242" s="183"/>
      <c r="AM242" s="183"/>
      <c r="AN242" s="183"/>
    </row>
    <row r="243" spans="2:40" x14ac:dyDescent="0.25">
      <c r="B243" s="9" t="s">
        <v>41</v>
      </c>
      <c r="C243" s="10" t="s">
        <v>42</v>
      </c>
      <c r="D243" s="11" t="s">
        <v>10</v>
      </c>
      <c r="E243" s="46">
        <f>SUM(E244:E246)</f>
        <v>0</v>
      </c>
      <c r="F243" s="46">
        <f>SUM(F244:F246)</f>
        <v>0</v>
      </c>
      <c r="G243" s="46">
        <f>SUM(G244:G246)</f>
        <v>0</v>
      </c>
      <c r="H243" s="98">
        <f>SUM(H244:H246)</f>
        <v>0</v>
      </c>
      <c r="K243" s="9" t="s">
        <v>41</v>
      </c>
      <c r="L243" s="10" t="s">
        <v>42</v>
      </c>
      <c r="M243" s="11" t="s">
        <v>10</v>
      </c>
      <c r="N243" s="46">
        <f>SUM(N244:N246)</f>
        <v>0</v>
      </c>
      <c r="O243" s="46">
        <f>SUM(O244:O246)</f>
        <v>0</v>
      </c>
      <c r="P243" s="46">
        <f>SUM(P244:P246)</f>
        <v>0</v>
      </c>
      <c r="Q243" s="98">
        <f>SUM(Q244:Q246)</f>
        <v>0</v>
      </c>
      <c r="T243" s="9" t="s">
        <v>41</v>
      </c>
      <c r="U243" s="10" t="s">
        <v>42</v>
      </c>
      <c r="V243" s="11" t="s">
        <v>10</v>
      </c>
      <c r="W243" s="98">
        <f t="shared" ref="W243:AB243" si="108">SUM(W244:W246)</f>
        <v>0</v>
      </c>
      <c r="X243" s="98">
        <f t="shared" si="108"/>
        <v>0</v>
      </c>
      <c r="Y243" s="98">
        <f t="shared" si="108"/>
        <v>0</v>
      </c>
      <c r="Z243" s="98">
        <f t="shared" si="108"/>
        <v>0</v>
      </c>
      <c r="AA243" s="98">
        <f t="shared" si="108"/>
        <v>0</v>
      </c>
      <c r="AB243" s="98">
        <f t="shared" si="108"/>
        <v>0</v>
      </c>
      <c r="AC243" s="183"/>
      <c r="AD243" s="183"/>
      <c r="AK243" s="183"/>
      <c r="AL243" s="183"/>
      <c r="AM243" s="183"/>
      <c r="AN243" s="183"/>
    </row>
    <row r="244" spans="2:40" x14ac:dyDescent="0.25">
      <c r="B244" s="12" t="s">
        <v>43</v>
      </c>
      <c r="C244" s="13" t="s">
        <v>44</v>
      </c>
      <c r="D244" s="3" t="s">
        <v>10</v>
      </c>
      <c r="E244" s="49">
        <v>0</v>
      </c>
      <c r="F244" s="445">
        <v>0</v>
      </c>
      <c r="G244" s="49">
        <v>0</v>
      </c>
      <c r="H244" s="32">
        <f>IF(YEAR(Postup!$H$25)&gt;$D$214,Provozování!Z39,IF(AND(DAY(Postup!$H$25)=31,MONTH(Postup!$H$25)=12,YEAR(Postup!$H$25)=$D$214),Provozování!Z39,IF(YEAR(Postup!$H$25)=$D$214,Provozování!$BM39,0)))</f>
        <v>0</v>
      </c>
      <c r="K244" s="12" t="s">
        <v>43</v>
      </c>
      <c r="L244" s="13" t="s">
        <v>44</v>
      </c>
      <c r="M244" s="3" t="s">
        <v>10</v>
      </c>
      <c r="N244" s="49">
        <v>0</v>
      </c>
      <c r="O244" s="445">
        <v>0</v>
      </c>
      <c r="P244" s="49">
        <v>0</v>
      </c>
      <c r="Q244" s="59">
        <f>IF(Provozování!$AA$16="Neaktivní",0,Provozování!AB39)</f>
        <v>0</v>
      </c>
      <c r="T244" s="12" t="s">
        <v>43</v>
      </c>
      <c r="U244" s="13" t="s">
        <v>44</v>
      </c>
      <c r="V244" s="3" t="s">
        <v>10</v>
      </c>
      <c r="W244" s="445">
        <v>0</v>
      </c>
      <c r="X244" s="445">
        <v>0</v>
      </c>
      <c r="Y244" s="445">
        <v>0</v>
      </c>
      <c r="Z244" s="595">
        <v>0</v>
      </c>
      <c r="AA244" s="49">
        <f>IF(Provozování!$AA$16="Neaktivní",H244,H244*Výpočty!$K$58+Q244)</f>
        <v>0</v>
      </c>
      <c r="AB244" s="32">
        <f t="shared" ref="AB244:AB247" si="109">Z244-AA244</f>
        <v>0</v>
      </c>
      <c r="AC244" s="183"/>
      <c r="AD244" s="183"/>
      <c r="AE244" s="951" t="s">
        <v>362</v>
      </c>
      <c r="AF244" s="952"/>
      <c r="AG244" s="447">
        <f>Y224</f>
        <v>2023</v>
      </c>
      <c r="AH244" s="447">
        <f>AG244</f>
        <v>2023</v>
      </c>
      <c r="AK244" s="183"/>
      <c r="AL244" s="183"/>
      <c r="AM244" s="183"/>
      <c r="AN244" s="183"/>
    </row>
    <row r="245" spans="2:40" x14ac:dyDescent="0.25">
      <c r="B245" s="12" t="s">
        <v>45</v>
      </c>
      <c r="C245" s="12" t="s">
        <v>46</v>
      </c>
      <c r="D245" s="3" t="s">
        <v>10</v>
      </c>
      <c r="E245" s="49">
        <v>0</v>
      </c>
      <c r="F245" s="589">
        <f>IF(YEAR(Postup!$H$25)&gt;$D$214,Provozování!Y40,IF(AND(DAY(Postup!$H$25)=31,MONTH(Postup!$H$25)=12,YEAR(Postup!$H$25)=$D$214),Provozování!Y40,IF(YEAR(Postup!$H$25)=$D$214,Provozování!$BL40,0)))</f>
        <v>0</v>
      </c>
      <c r="G245" s="49">
        <v>0</v>
      </c>
      <c r="H245" s="590">
        <f>IF(YEAR(Postup!$H$25)&gt;$D$214,Provozování!Z40,IF(AND(DAY(Postup!$H$25)=31,MONTH(Postup!$H$25)=12,YEAR(Postup!$H$25)=$D$214),Provozování!Z40,IF(YEAR(Postup!$H$25)=$D$214,Provozování!$BM40,0)))</f>
        <v>0</v>
      </c>
      <c r="K245" s="12" t="s">
        <v>45</v>
      </c>
      <c r="L245" s="12" t="s">
        <v>46</v>
      </c>
      <c r="M245" s="3" t="s">
        <v>10</v>
      </c>
      <c r="N245" s="49">
        <v>0</v>
      </c>
      <c r="O245" s="444">
        <f>IF(Provozování!$AA$16="Neaktivní",0,Provozování!AA40)</f>
        <v>0</v>
      </c>
      <c r="P245" s="49">
        <v>0</v>
      </c>
      <c r="Q245" s="443">
        <f>IF(Provozování!$AA$16="Neaktivní",0,Provozování!AB40)</f>
        <v>0</v>
      </c>
      <c r="T245" s="12" t="s">
        <v>45</v>
      </c>
      <c r="U245" s="12" t="s">
        <v>46</v>
      </c>
      <c r="V245" s="3" t="s">
        <v>10</v>
      </c>
      <c r="W245" s="595">
        <v>0</v>
      </c>
      <c r="X245" s="49">
        <f>IF(Provozování!$AA$16="Neaktivní",F245,F245*Výpočty!$K$58+O245)</f>
        <v>0</v>
      </c>
      <c r="Y245" s="49">
        <f t="shared" ref="Y245:Y247" si="110">W245-X245</f>
        <v>0</v>
      </c>
      <c r="Z245" s="595">
        <v>0</v>
      </c>
      <c r="AA245" s="49">
        <f>IF(Provozování!$AA$16="Neaktivní",H245,H245*Výpočty!$K$58+Q245)</f>
        <v>0</v>
      </c>
      <c r="AB245" s="32">
        <f t="shared" si="109"/>
        <v>0</v>
      </c>
      <c r="AC245" s="183"/>
      <c r="AD245" s="183"/>
      <c r="AE245" s="953"/>
      <c r="AF245" s="954"/>
      <c r="AG245" s="957" t="s">
        <v>299</v>
      </c>
      <c r="AH245" s="957" t="s">
        <v>300</v>
      </c>
      <c r="AK245" s="183"/>
      <c r="AL245" s="183"/>
      <c r="AM245" s="183"/>
      <c r="AN245" s="183"/>
    </row>
    <row r="246" spans="2:40" x14ac:dyDescent="0.25">
      <c r="B246" s="12" t="s">
        <v>47</v>
      </c>
      <c r="C246" s="13" t="s">
        <v>48</v>
      </c>
      <c r="D246" s="3" t="s">
        <v>10</v>
      </c>
      <c r="E246" s="49">
        <v>0</v>
      </c>
      <c r="F246" s="589">
        <f>IF(YEAR(Postup!$H$25)&gt;$D$214,Provozování!Y41,IF(AND(DAY(Postup!$H$25)=31,MONTH(Postup!$H$25)=12,YEAR(Postup!$H$25)=$D$214),Provozování!Y41,IF(YEAR(Postup!$H$25)=$D$214,Provozování!$BL41,0)))</f>
        <v>0</v>
      </c>
      <c r="G246" s="49">
        <v>0</v>
      </c>
      <c r="H246" s="590">
        <f>IF(YEAR(Postup!$H$25)&gt;$D$214,Provozování!Z41,IF(AND(DAY(Postup!$H$25)=31,MONTH(Postup!$H$25)=12,YEAR(Postup!$H$25)=$D$214),Provozování!Z41,IF(YEAR(Postup!$H$25)=$D$214,Provozování!$BM41,0)))</f>
        <v>0</v>
      </c>
      <c r="K246" s="12" t="s">
        <v>47</v>
      </c>
      <c r="L246" s="13" t="s">
        <v>48</v>
      </c>
      <c r="M246" s="3" t="s">
        <v>10</v>
      </c>
      <c r="N246" s="49">
        <v>0</v>
      </c>
      <c r="O246" s="444">
        <f>IF(Provozování!$AA$16="Neaktivní",0,Provozování!AA41)</f>
        <v>0</v>
      </c>
      <c r="P246" s="49">
        <v>0</v>
      </c>
      <c r="Q246" s="443">
        <f>IF(Provozování!$AA$16="Neaktivní",0,Provozování!AB41)</f>
        <v>0</v>
      </c>
      <c r="T246" s="12" t="s">
        <v>47</v>
      </c>
      <c r="U246" s="13" t="s">
        <v>48</v>
      </c>
      <c r="V246" s="3" t="s">
        <v>10</v>
      </c>
      <c r="W246" s="595">
        <v>0</v>
      </c>
      <c r="X246" s="49">
        <f>IF(Provozování!$AA$16="Neaktivní",F246,F246*Výpočty!$K$58+O246)</f>
        <v>0</v>
      </c>
      <c r="Y246" s="49">
        <f t="shared" si="110"/>
        <v>0</v>
      </c>
      <c r="Z246" s="595">
        <v>0</v>
      </c>
      <c r="AA246" s="49">
        <f>IF(Provozování!$AA$16="Neaktivní",H246,H246*Výpočty!$K$58+Q246)</f>
        <v>0</v>
      </c>
      <c r="AB246" s="32">
        <f t="shared" si="109"/>
        <v>0</v>
      </c>
      <c r="AC246" s="183"/>
      <c r="AD246" s="183"/>
      <c r="AE246" s="955"/>
      <c r="AF246" s="956"/>
      <c r="AG246" s="958"/>
      <c r="AH246" s="958"/>
      <c r="AK246" s="183"/>
      <c r="AL246" s="183"/>
      <c r="AM246" s="183"/>
      <c r="AN246" s="183"/>
    </row>
    <row r="247" spans="2:40" x14ac:dyDescent="0.25">
      <c r="B247" s="9" t="s">
        <v>49</v>
      </c>
      <c r="C247" s="10" t="s">
        <v>50</v>
      </c>
      <c r="D247" s="11" t="s">
        <v>10</v>
      </c>
      <c r="E247" s="49">
        <v>0</v>
      </c>
      <c r="F247" s="589">
        <f>IF(YEAR(Postup!$H$25)&gt;$D$214,Provozování!Y42,IF(AND(DAY(Postup!$H$25)=31,MONTH(Postup!$H$25)=12,YEAR(Postup!$H$25)=$D$214),Provozování!Y42,IF(YEAR(Postup!$H$25)=$D$214,Provozování!$BL42,0)))</f>
        <v>0</v>
      </c>
      <c r="G247" s="49">
        <v>0</v>
      </c>
      <c r="H247" s="590">
        <f>IF(YEAR(Postup!$H$25)&gt;$D$214,Provozování!Z42,IF(AND(DAY(Postup!$H$25)=31,MONTH(Postup!$H$25)=12,YEAR(Postup!$H$25)=$D$214),Provozování!Z42,IF(YEAR(Postup!$H$25)=$D$214,Provozování!$BM42,0)))</f>
        <v>0</v>
      </c>
      <c r="K247" s="9" t="s">
        <v>49</v>
      </c>
      <c r="L247" s="10" t="s">
        <v>50</v>
      </c>
      <c r="M247" s="11" t="s">
        <v>10</v>
      </c>
      <c r="N247" s="49">
        <v>0</v>
      </c>
      <c r="O247" s="444">
        <f>IF(Provozování!$AA$16="Neaktivní",0,Provozování!AA42)</f>
        <v>0</v>
      </c>
      <c r="P247" s="49">
        <v>0</v>
      </c>
      <c r="Q247" s="450">
        <f>IF(Provozování!$AA$16="Neaktivní",0,Provozování!AB42)</f>
        <v>0</v>
      </c>
      <c r="T247" s="9" t="s">
        <v>49</v>
      </c>
      <c r="U247" s="10" t="s">
        <v>50</v>
      </c>
      <c r="V247" s="11" t="s">
        <v>10</v>
      </c>
      <c r="W247" s="595">
        <v>0</v>
      </c>
      <c r="X247" s="49">
        <f>IF(Provozování!$AA$16="Neaktivní",F247,F247*Výpočty!$K$58+O247)</f>
        <v>0</v>
      </c>
      <c r="Y247" s="49">
        <f t="shared" si="110"/>
        <v>0</v>
      </c>
      <c r="Z247" s="595">
        <v>0</v>
      </c>
      <c r="AA247" s="49">
        <f>IF(Provozování!$AA$16="Neaktivní",H247,H247*Výpočty!$K$58+Q247)</f>
        <v>0</v>
      </c>
      <c r="AB247" s="32">
        <f t="shared" si="109"/>
        <v>0</v>
      </c>
      <c r="AC247" s="183"/>
      <c r="AD247" s="183"/>
      <c r="AE247" s="12" t="s">
        <v>405</v>
      </c>
      <c r="AF247" s="12" t="s">
        <v>408</v>
      </c>
      <c r="AG247" s="542">
        <f>Z275</f>
        <v>0</v>
      </c>
      <c r="AH247" s="542">
        <f ca="1">AB275</f>
        <v>31.982761014850567</v>
      </c>
      <c r="AK247" s="183"/>
      <c r="AL247" s="183"/>
      <c r="AM247" s="183"/>
      <c r="AN247" s="183"/>
    </row>
    <row r="248" spans="2:40" x14ac:dyDescent="0.25">
      <c r="B248" s="9" t="s">
        <v>51</v>
      </c>
      <c r="C248" s="10" t="s">
        <v>52</v>
      </c>
      <c r="D248" s="11" t="s">
        <v>10</v>
      </c>
      <c r="E248" s="49">
        <v>0</v>
      </c>
      <c r="F248" s="589">
        <f>IF(YEAR(Postup!$H$25)&gt;$D$214,Provozování!Y43-Provozování!Y97,IF(AND(DAY(Postup!$H$25)=31,MONTH(Postup!$H$25)=12,YEAR(Postup!$H$25)=$D$214),Provozování!Y43-Provozování!Y97,IF(YEAR(Postup!$H$25)=$D$214,Provozování!$BL43-Provozování!Y97,0)))</f>
        <v>0</v>
      </c>
      <c r="G248" s="49">
        <v>0</v>
      </c>
      <c r="H248" s="590">
        <f ca="1">IF(YEAR(Postup!$H$25)&gt;$D$214,Provozování!Z43-Provozování!Z97,IF(AND(DAY(Postup!$H$25)=31,MONTH(Postup!$H$25)=12,YEAR(Postup!$H$25)=$D$214),Provozování!Z43-Provozování!Z97,IF(YEAR(Postup!$H$25)=$D$214,Provozování!$BM43-Provozování!Z97,0)))</f>
        <v>0</v>
      </c>
      <c r="K248" s="9" t="s">
        <v>51</v>
      </c>
      <c r="L248" s="10" t="s">
        <v>52</v>
      </c>
      <c r="M248" s="11" t="s">
        <v>10</v>
      </c>
      <c r="N248" s="49">
        <v>0</v>
      </c>
      <c r="O248" s="444">
        <f>IF(Provozování!$AA$16="Neaktivní",0,Provozování!AA43-Provozování!Y97*Výpočty!K53)</f>
        <v>0</v>
      </c>
      <c r="P248" s="49">
        <v>0</v>
      </c>
      <c r="Q248" s="450">
        <f>IF(Provozování!$AA$16="Neaktivní",0,Provozování!AB43-Provozování!Z97*Výpočty!K53)</f>
        <v>0</v>
      </c>
      <c r="T248" s="9" t="s">
        <v>51</v>
      </c>
      <c r="U248" s="10" t="s">
        <v>52</v>
      </c>
      <c r="V248" s="11" t="s">
        <v>10</v>
      </c>
      <c r="W248" s="595">
        <v>0</v>
      </c>
      <c r="X248" s="49">
        <f>IF(Provozování!$AA$16="Neaktivní",F248,F248*Výpočty!$K$58+O248)</f>
        <v>0</v>
      </c>
      <c r="Y248" s="49">
        <f>ABS(W248)-ABS(X248)</f>
        <v>0</v>
      </c>
      <c r="Z248" s="595">
        <v>0</v>
      </c>
      <c r="AA248" s="49">
        <f ca="1">IF(Provozování!$AA$16="Neaktivní",H248,H248*Výpočty!$K$58+Q248)</f>
        <v>0</v>
      </c>
      <c r="AB248" s="32">
        <f ca="1">ABS(Z248)-ABS(AA248)</f>
        <v>0</v>
      </c>
      <c r="AC248" s="183"/>
      <c r="AD248" s="183"/>
      <c r="AE248" s="12" t="s">
        <v>406</v>
      </c>
      <c r="AF248" s="13" t="s">
        <v>410</v>
      </c>
      <c r="AG248" s="360">
        <f>Y274</f>
        <v>0</v>
      </c>
      <c r="AH248" s="360">
        <f>AA274</f>
        <v>0</v>
      </c>
      <c r="AK248" s="183"/>
      <c r="AL248" s="183"/>
      <c r="AM248" s="183"/>
      <c r="AN248" s="183"/>
    </row>
    <row r="249" spans="2:40" x14ac:dyDescent="0.25">
      <c r="B249" s="9" t="s">
        <v>53</v>
      </c>
      <c r="C249" s="10" t="s">
        <v>54</v>
      </c>
      <c r="D249" s="11" t="s">
        <v>10</v>
      </c>
      <c r="E249" s="49">
        <v>0</v>
      </c>
      <c r="F249" s="589">
        <f>IF(YEAR(Postup!$H$25)&gt;$D$214,Provozování!Y44,IF(AND(DAY(Postup!$H$25)=31,MONTH(Postup!$H$25)=12,YEAR(Postup!$H$25)=$D$214),Provozování!Y44,IF(YEAR(Postup!$H$25)=$D$214,Provozování!$BL44,0)))</f>
        <v>0</v>
      </c>
      <c r="G249" s="49">
        <v>0</v>
      </c>
      <c r="H249" s="590">
        <f>IF(YEAR(Postup!$H$25)&gt;$D$214,Provozování!Z44,IF(AND(DAY(Postup!$H$25)=31,MONTH(Postup!$H$25)=12,YEAR(Postup!$H$25)=$D$214),Provozování!Z44,IF(YEAR(Postup!$H$25)=$D$214,Provozování!$BM44,0)))</f>
        <v>0</v>
      </c>
      <c r="K249" s="9" t="s">
        <v>53</v>
      </c>
      <c r="L249" s="10" t="s">
        <v>54</v>
      </c>
      <c r="M249" s="11" t="s">
        <v>10</v>
      </c>
      <c r="N249" s="49">
        <v>0</v>
      </c>
      <c r="O249" s="444">
        <f>IF(Provozování!$AA$16="Neaktivní",0,Provozování!AA44)</f>
        <v>0</v>
      </c>
      <c r="P249" s="49">
        <v>0</v>
      </c>
      <c r="Q249" s="443">
        <f>IF(Provozování!$AA$16="Neaktivní",0,Provozování!AB44)</f>
        <v>0</v>
      </c>
      <c r="T249" s="9" t="s">
        <v>53</v>
      </c>
      <c r="U249" s="10" t="s">
        <v>54</v>
      </c>
      <c r="V249" s="11" t="s">
        <v>10</v>
      </c>
      <c r="W249" s="595">
        <v>0</v>
      </c>
      <c r="X249" s="49">
        <f>IF(Provozování!$AA$16="Neaktivní",F249,F249*Výpočty!$K$58+O249)</f>
        <v>0</v>
      </c>
      <c r="Y249" s="49">
        <f t="shared" ref="Y249:Y250" si="111">W249-X249</f>
        <v>0</v>
      </c>
      <c r="Z249" s="595">
        <v>0</v>
      </c>
      <c r="AA249" s="49">
        <f>IF(Provozování!$AA$16="Neaktivní",H249,H249*Výpočty!$K$58+Q249)</f>
        <v>0</v>
      </c>
      <c r="AB249" s="32">
        <f t="shared" ref="AB249:AB250" si="112">Z249-AA249</f>
        <v>0</v>
      </c>
      <c r="AC249" s="183"/>
      <c r="AD249" s="183"/>
      <c r="AE249" s="12" t="s">
        <v>407</v>
      </c>
      <c r="AF249" s="13" t="s">
        <v>409</v>
      </c>
      <c r="AG249" s="360">
        <f>Z274</f>
        <v>0</v>
      </c>
      <c r="AH249" s="360">
        <f>AB274</f>
        <v>1.4E-2</v>
      </c>
      <c r="AK249" s="183"/>
      <c r="AL249" s="183"/>
      <c r="AM249" s="183"/>
      <c r="AN249" s="183"/>
    </row>
    <row r="250" spans="2:40" x14ac:dyDescent="0.25">
      <c r="B250" s="9" t="s">
        <v>55</v>
      </c>
      <c r="C250" s="10" t="s">
        <v>56</v>
      </c>
      <c r="D250" s="11" t="s">
        <v>10</v>
      </c>
      <c r="E250" s="49">
        <v>0</v>
      </c>
      <c r="F250" s="589">
        <f>IF(YEAR(Postup!$H$25)&gt;$D$214,Provozování!Y45,IF(AND(DAY(Postup!$H$25)=31,MONTH(Postup!$H$25)=12,YEAR(Postup!$H$25)=$D$214),Provozování!Y45,IF(YEAR(Postup!$H$25)=$D$214,Provozování!$BL45,0)))</f>
        <v>0</v>
      </c>
      <c r="G250" s="49">
        <v>0</v>
      </c>
      <c r="H250" s="590">
        <f>IF(YEAR(Postup!$H$25)&gt;$D$214,Provozování!Z45,IF(AND(DAY(Postup!$H$25)=31,MONTH(Postup!$H$25)=12,YEAR(Postup!$H$25)=$D$214),Provozování!Z45,IF(YEAR(Postup!$H$25)=$D$214,Provozování!$BM45,0)))</f>
        <v>0</v>
      </c>
      <c r="K250" s="9" t="s">
        <v>55</v>
      </c>
      <c r="L250" s="10" t="s">
        <v>56</v>
      </c>
      <c r="M250" s="11" t="s">
        <v>10</v>
      </c>
      <c r="N250" s="49">
        <v>0</v>
      </c>
      <c r="O250" s="444">
        <f>IF(Provozování!$AA$16="Neaktivní",0,Provozování!AA45)</f>
        <v>0</v>
      </c>
      <c r="P250" s="49">
        <v>0</v>
      </c>
      <c r="Q250" s="443">
        <f>IF(Provozování!$AA$16="Neaktivní",0,Provozování!AB45)</f>
        <v>0</v>
      </c>
      <c r="T250" s="9" t="s">
        <v>55</v>
      </c>
      <c r="U250" s="10" t="s">
        <v>56</v>
      </c>
      <c r="V250" s="11" t="s">
        <v>10</v>
      </c>
      <c r="W250" s="595">
        <v>0</v>
      </c>
      <c r="X250" s="49">
        <f>IF(Provozování!$AA$16="Neaktivní",F250,F250*Výpočty!$K$58+O250)</f>
        <v>0</v>
      </c>
      <c r="Y250" s="49">
        <f t="shared" si="111"/>
        <v>0</v>
      </c>
      <c r="Z250" s="595">
        <v>0</v>
      </c>
      <c r="AA250" s="49">
        <f>IF(Provozování!$AA$16="Neaktivní",H250,H250*Výpočty!$K$58+Q250)</f>
        <v>0</v>
      </c>
      <c r="AB250" s="32">
        <f t="shared" si="112"/>
        <v>0</v>
      </c>
      <c r="AC250" s="183"/>
      <c r="AD250" s="183"/>
      <c r="AE250" s="12" t="s">
        <v>411</v>
      </c>
      <c r="AF250" s="12" t="s">
        <v>419</v>
      </c>
      <c r="AG250" s="360">
        <f>X251-X241</f>
        <v>0</v>
      </c>
      <c r="AH250" s="360">
        <f ca="1">AA251-AA241</f>
        <v>0.28999999999999992</v>
      </c>
      <c r="AK250" s="183"/>
      <c r="AL250" s="183"/>
      <c r="AM250" s="183"/>
      <c r="AN250" s="183"/>
    </row>
    <row r="251" spans="2:40" x14ac:dyDescent="0.25">
      <c r="B251" s="9" t="s">
        <v>57</v>
      </c>
      <c r="C251" s="10" t="s">
        <v>58</v>
      </c>
      <c r="D251" s="11" t="s">
        <v>10</v>
      </c>
      <c r="E251" s="46">
        <f>E227+E232+E235+E238+E243+E247+E248+E249+E250</f>
        <v>0</v>
      </c>
      <c r="F251" s="46">
        <f>F227+F232+F235+F238+F243+F247+F248+F249+F250</f>
        <v>0</v>
      </c>
      <c r="G251" s="46">
        <f>G227+G232+G235+G238+G243+G247+G248+G249+G250</f>
        <v>0</v>
      </c>
      <c r="H251" s="98">
        <f ca="1">H227+H232+H235+H238+H243+H247+H248+H249+H250</f>
        <v>0.43999999999999995</v>
      </c>
      <c r="K251" s="9" t="s">
        <v>57</v>
      </c>
      <c r="L251" s="10" t="s">
        <v>58</v>
      </c>
      <c r="M251" s="11" t="s">
        <v>10</v>
      </c>
      <c r="N251" s="46">
        <f>N227+N232+N235+N238+N243+N247+N248+N249+N250</f>
        <v>0</v>
      </c>
      <c r="O251" s="46">
        <f>O227+O232+O235+O238+O243+O247+O248+O249+O250</f>
        <v>0</v>
      </c>
      <c r="P251" s="46">
        <f>P227+P232+P235+P238+P243+P247+P248+P249+P250</f>
        <v>0</v>
      </c>
      <c r="Q251" s="98">
        <f>Q227+Q232+Q235+Q238+Q243+Q247+Q248+Q249+Q250</f>
        <v>0</v>
      </c>
      <c r="T251" s="9" t="s">
        <v>57</v>
      </c>
      <c r="U251" s="10" t="s">
        <v>58</v>
      </c>
      <c r="V251" s="11" t="s">
        <v>10</v>
      </c>
      <c r="W251" s="46">
        <f t="shared" ref="W251:AB251" si="113">W227+W232+W235+W238+W243+W247+W248+W249+W250</f>
        <v>0</v>
      </c>
      <c r="X251" s="46">
        <f t="shared" si="113"/>
        <v>0</v>
      </c>
      <c r="Y251" s="46">
        <f t="shared" si="113"/>
        <v>0</v>
      </c>
      <c r="Z251" s="46">
        <f t="shared" si="113"/>
        <v>0</v>
      </c>
      <c r="AA251" s="46">
        <f t="shared" ca="1" si="113"/>
        <v>0.43999999999999995</v>
      </c>
      <c r="AB251" s="98">
        <f t="shared" ca="1" si="113"/>
        <v>-0.43999999999999995</v>
      </c>
      <c r="AC251" s="183"/>
      <c r="AD251" s="183"/>
      <c r="AE251" s="12" t="s">
        <v>412</v>
      </c>
      <c r="AF251" s="12" t="s">
        <v>418</v>
      </c>
      <c r="AG251" s="360">
        <f>W251-W241</f>
        <v>0</v>
      </c>
      <c r="AH251" s="360">
        <f>Z251-Z241</f>
        <v>0</v>
      </c>
      <c r="AK251" s="183"/>
      <c r="AL251" s="183"/>
      <c r="AM251" s="183"/>
      <c r="AN251" s="183"/>
    </row>
    <row r="252" spans="2:40" x14ac:dyDescent="0.25">
      <c r="B252" s="12" t="s">
        <v>59</v>
      </c>
      <c r="C252" s="13" t="s">
        <v>112</v>
      </c>
      <c r="D252" s="3" t="s">
        <v>10</v>
      </c>
      <c r="E252" s="437">
        <v>0</v>
      </c>
      <c r="F252" s="591">
        <f>F182</f>
        <v>0</v>
      </c>
      <c r="G252" s="437">
        <v>0</v>
      </c>
      <c r="H252" s="593">
        <f>H182</f>
        <v>0</v>
      </c>
      <c r="K252" s="12" t="s">
        <v>59</v>
      </c>
      <c r="L252" s="13" t="s">
        <v>112</v>
      </c>
      <c r="M252" s="3" t="s">
        <v>10</v>
      </c>
      <c r="N252" s="437">
        <v>0</v>
      </c>
      <c r="O252" s="437">
        <f>IF(Provozování!$V$16="Neaktivní",0,F252)</f>
        <v>0</v>
      </c>
      <c r="P252" s="437">
        <v>0</v>
      </c>
      <c r="Q252" s="438">
        <f>IF(Provozování!$V$16="Neaktivní",0,H252)</f>
        <v>0</v>
      </c>
      <c r="T252" s="47" t="s">
        <v>59</v>
      </c>
      <c r="U252" s="13" t="s">
        <v>112</v>
      </c>
      <c r="V252" s="3" t="s">
        <v>10</v>
      </c>
      <c r="W252" s="591">
        <v>0</v>
      </c>
      <c r="X252" s="437">
        <f>F252</f>
        <v>0</v>
      </c>
      <c r="Y252" s="437">
        <f>W252-X252</f>
        <v>0</v>
      </c>
      <c r="Z252" s="591">
        <v>0</v>
      </c>
      <c r="AA252" s="437">
        <f>H252</f>
        <v>0</v>
      </c>
      <c r="AB252" s="438">
        <f>Z252-AA252</f>
        <v>0</v>
      </c>
      <c r="AC252" s="183"/>
      <c r="AD252" s="183"/>
      <c r="AE252" s="12" t="s">
        <v>430</v>
      </c>
      <c r="AF252" s="12" t="s">
        <v>431</v>
      </c>
      <c r="AG252" s="360">
        <f>Provozování!Y$97</f>
        <v>0</v>
      </c>
      <c r="AH252" s="360">
        <f ca="1">Provozování!Z$97</f>
        <v>0</v>
      </c>
      <c r="AK252" s="183"/>
      <c r="AL252" s="183"/>
      <c r="AM252" s="183"/>
      <c r="AN252" s="183"/>
    </row>
    <row r="253" spans="2:40" x14ac:dyDescent="0.25">
      <c r="B253" s="12" t="s">
        <v>60</v>
      </c>
      <c r="C253" s="13" t="s">
        <v>113</v>
      </c>
      <c r="D253" s="3" t="s">
        <v>10</v>
      </c>
      <c r="E253" s="437">
        <v>0</v>
      </c>
      <c r="F253" s="591">
        <f>F183</f>
        <v>0</v>
      </c>
      <c r="G253" s="437">
        <v>0</v>
      </c>
      <c r="H253" s="593">
        <f>H183</f>
        <v>0</v>
      </c>
      <c r="K253" s="12" t="s">
        <v>60</v>
      </c>
      <c r="L253" s="13" t="s">
        <v>113</v>
      </c>
      <c r="M253" s="3" t="s">
        <v>10</v>
      </c>
      <c r="N253" s="437">
        <v>0</v>
      </c>
      <c r="O253" s="437">
        <f>IF(Provozování!$V$16="Neaktivní",0,F253)</f>
        <v>0</v>
      </c>
      <c r="P253" s="437">
        <v>0</v>
      </c>
      <c r="Q253" s="438">
        <f>IF(Provozování!$V$16="Neaktivní",0,H253)</f>
        <v>0</v>
      </c>
      <c r="T253" s="12" t="s">
        <v>60</v>
      </c>
      <c r="U253" s="13" t="s">
        <v>113</v>
      </c>
      <c r="V253" s="3" t="s">
        <v>10</v>
      </c>
      <c r="W253" s="591">
        <v>0</v>
      </c>
      <c r="X253" s="437">
        <f>F253</f>
        <v>0</v>
      </c>
      <c r="Y253" s="437">
        <f>W253-X253</f>
        <v>0</v>
      </c>
      <c r="Z253" s="591">
        <v>0</v>
      </c>
      <c r="AA253" s="437">
        <f>H253</f>
        <v>0</v>
      </c>
      <c r="AB253" s="438">
        <f>Z253-AA253</f>
        <v>0</v>
      </c>
      <c r="AC253" s="183"/>
      <c r="AD253" s="183"/>
      <c r="AE253" s="554" t="s">
        <v>434</v>
      </c>
      <c r="AF253" s="555"/>
      <c r="AG253" s="959">
        <f>(AG247*AG248-AG247*AG249)+(AG250-AG251)-AG252</f>
        <v>0</v>
      </c>
      <c r="AH253" s="959">
        <f ca="1">(AH247*AH248-AH247*AH249)+(AH250-AH251)-AH252</f>
        <v>-0.15775865420790802</v>
      </c>
      <c r="AK253" s="183"/>
      <c r="AL253" s="183"/>
      <c r="AM253" s="183"/>
      <c r="AN253" s="183"/>
    </row>
    <row r="254" spans="2:40" x14ac:dyDescent="0.25">
      <c r="B254" s="12" t="s">
        <v>61</v>
      </c>
      <c r="C254" s="13" t="s">
        <v>62</v>
      </c>
      <c r="D254" s="3" t="s">
        <v>63</v>
      </c>
      <c r="E254" s="439">
        <v>0</v>
      </c>
      <c r="F254" s="592">
        <f>F184</f>
        <v>0</v>
      </c>
      <c r="G254" s="439">
        <v>0</v>
      </c>
      <c r="H254" s="592">
        <f>H184</f>
        <v>0</v>
      </c>
      <c r="K254" s="12" t="s">
        <v>61</v>
      </c>
      <c r="L254" s="13" t="s">
        <v>62</v>
      </c>
      <c r="M254" s="3" t="s">
        <v>63</v>
      </c>
      <c r="N254" s="439">
        <v>0</v>
      </c>
      <c r="O254" s="439">
        <f>IF(Provozování!$V$16="Neaktivní",0,F254)</f>
        <v>0</v>
      </c>
      <c r="P254" s="439">
        <v>0</v>
      </c>
      <c r="Q254" s="440">
        <f>IF(Provozování!$V$16="Neaktivní",0,H254)</f>
        <v>0</v>
      </c>
      <c r="T254" s="12" t="s">
        <v>61</v>
      </c>
      <c r="U254" s="13" t="s">
        <v>62</v>
      </c>
      <c r="V254" s="3" t="s">
        <v>63</v>
      </c>
      <c r="W254" s="599">
        <v>0</v>
      </c>
      <c r="X254" s="439">
        <f>F254</f>
        <v>0</v>
      </c>
      <c r="Y254" s="440">
        <f>W254-X254</f>
        <v>0</v>
      </c>
      <c r="Z254" s="599">
        <v>0</v>
      </c>
      <c r="AA254" s="439">
        <f>H254</f>
        <v>0</v>
      </c>
      <c r="AB254" s="440">
        <f>Z254-AA254</f>
        <v>0</v>
      </c>
      <c r="AC254" s="183"/>
      <c r="AD254" s="183"/>
      <c r="AE254" s="544" t="s">
        <v>432</v>
      </c>
      <c r="AF254" s="543"/>
      <c r="AG254" s="960"/>
      <c r="AH254" s="960"/>
      <c r="AK254" s="183"/>
      <c r="AL254" s="183"/>
      <c r="AM254" s="183"/>
      <c r="AN254" s="183"/>
    </row>
    <row r="255" spans="2:40" x14ac:dyDescent="0.25">
      <c r="B255" s="12" t="s">
        <v>64</v>
      </c>
      <c r="C255" s="13" t="s">
        <v>65</v>
      </c>
      <c r="D255" s="3" t="s">
        <v>66</v>
      </c>
      <c r="E255" s="49">
        <v>0</v>
      </c>
      <c r="F255" s="49">
        <f>IF(YEAR(Postup!$H$25)&gt;$D$214,Provozování!Y47,IF(AND(DAY(Postup!$H$25)=31,MONTH(Postup!$H$25)=12,YEAR(Postup!$H$25)=$D$214),Provozování!Y47,IF(YEAR(Postup!$H$25)=$D$214,Provozování!$BL47,0)))</f>
        <v>0</v>
      </c>
      <c r="G255" s="49">
        <v>0</v>
      </c>
      <c r="H255" s="442">
        <v>0</v>
      </c>
      <c r="K255" s="12" t="s">
        <v>64</v>
      </c>
      <c r="L255" s="13" t="s">
        <v>65</v>
      </c>
      <c r="M255" s="3" t="s">
        <v>66</v>
      </c>
      <c r="N255" s="49">
        <v>0</v>
      </c>
      <c r="O255" s="49">
        <f>IF(Provozování!$AA$16="Neaktivní",0,Provozování!AA47)</f>
        <v>0</v>
      </c>
      <c r="P255" s="49">
        <v>0</v>
      </c>
      <c r="Q255" s="442">
        <v>0</v>
      </c>
      <c r="T255" s="12" t="s">
        <v>64</v>
      </c>
      <c r="U255" s="13" t="s">
        <v>65</v>
      </c>
      <c r="V255" s="3" t="s">
        <v>66</v>
      </c>
      <c r="W255" s="595">
        <v>0</v>
      </c>
      <c r="X255" s="49">
        <f>IF(Provozování!$AA$16="Neaktivní",F255,F255*Výpočty!$K$58+O255)</f>
        <v>0</v>
      </c>
      <c r="Y255" s="49">
        <f>W255-X255</f>
        <v>0</v>
      </c>
      <c r="Z255" s="445">
        <v>0</v>
      </c>
      <c r="AA255" s="445">
        <v>0</v>
      </c>
      <c r="AB255" s="442">
        <v>0</v>
      </c>
      <c r="AC255" s="183"/>
      <c r="AD255" s="183"/>
      <c r="AE255" s="963" t="s">
        <v>416</v>
      </c>
      <c r="AF255" s="964"/>
      <c r="AG255" s="957" t="str">
        <f>IF(AG253&gt;0,"úspora",IF(AG253&lt;0,"ztráta provozovatele","-"))</f>
        <v>-</v>
      </c>
      <c r="AH255" s="957" t="str">
        <f ca="1">IF(AH253&gt;0,"úspora",IF(AH253&lt;0,"ztráta provozovatele","-"))</f>
        <v>ztráta provozovatele</v>
      </c>
      <c r="AK255" s="183"/>
      <c r="AL255" s="183"/>
      <c r="AM255" s="183"/>
      <c r="AN255" s="183"/>
    </row>
    <row r="256" spans="2:40" x14ac:dyDescent="0.25">
      <c r="B256" s="12" t="s">
        <v>67</v>
      </c>
      <c r="C256" s="13" t="s">
        <v>68</v>
      </c>
      <c r="D256" s="3" t="s">
        <v>66</v>
      </c>
      <c r="E256" s="49">
        <v>0</v>
      </c>
      <c r="F256" s="49">
        <f>IF(YEAR(Postup!$H$25)&gt;$D$214,Provozování!Y48,IF(AND(DAY(Postup!$H$25)=31,MONTH(Postup!$H$25)=12,YEAR(Postup!$H$25)=$D$214),Provozování!Y48,IF(YEAR(Postup!$H$25)=$D$214,Provozování!$BL48,0)))</f>
        <v>0</v>
      </c>
      <c r="G256" s="49">
        <v>0</v>
      </c>
      <c r="H256" s="442">
        <v>0</v>
      </c>
      <c r="K256" s="12" t="s">
        <v>67</v>
      </c>
      <c r="L256" s="13" t="s">
        <v>68</v>
      </c>
      <c r="M256" s="3" t="s">
        <v>66</v>
      </c>
      <c r="N256" s="49">
        <v>0</v>
      </c>
      <c r="O256" s="49">
        <f>IF(Provozování!$AA$16="Neaktivní",0,Provozování!AA48)</f>
        <v>0</v>
      </c>
      <c r="P256" s="49">
        <v>0</v>
      </c>
      <c r="Q256" s="442">
        <v>0</v>
      </c>
      <c r="T256" s="12" t="s">
        <v>67</v>
      </c>
      <c r="U256" s="13" t="s">
        <v>68</v>
      </c>
      <c r="V256" s="3" t="s">
        <v>66</v>
      </c>
      <c r="W256" s="595">
        <v>0</v>
      </c>
      <c r="X256" s="49">
        <f>IF(Provozování!$AA$16="Neaktivní",F256,F256*Výpočty!$K$58+O256)</f>
        <v>0</v>
      </c>
      <c r="Y256" s="49">
        <f>W256-X256</f>
        <v>0</v>
      </c>
      <c r="Z256" s="445">
        <v>0</v>
      </c>
      <c r="AA256" s="445">
        <v>0</v>
      </c>
      <c r="AB256" s="442">
        <v>0</v>
      </c>
      <c r="AC256" s="183"/>
      <c r="AD256" s="183"/>
      <c r="AE256" s="965"/>
      <c r="AF256" s="966"/>
      <c r="AG256" s="958"/>
      <c r="AH256" s="958"/>
      <c r="AK256" s="183"/>
      <c r="AL256" s="183"/>
      <c r="AM256" s="183"/>
      <c r="AN256" s="183"/>
    </row>
    <row r="257" spans="2:40" x14ac:dyDescent="0.25">
      <c r="B257" s="12" t="s">
        <v>69</v>
      </c>
      <c r="C257" s="13" t="s">
        <v>70</v>
      </c>
      <c r="D257" s="3" t="s">
        <v>66</v>
      </c>
      <c r="E257" s="49">
        <v>0</v>
      </c>
      <c r="F257" s="445">
        <v>0</v>
      </c>
      <c r="G257" s="49">
        <v>0</v>
      </c>
      <c r="H257" s="32">
        <f>IF(YEAR(Postup!$H$25)&gt;$D$214,Provozování!Z49,IF(AND(DAY(Postup!$H$25)=31,MONTH(Postup!$H$25)=12,YEAR(Postup!$H$25)=$D$214),Provozování!Z49,IF(YEAR(Postup!$H$25)=$D$214,Provozování!$BM49,0)))</f>
        <v>1.4E-2</v>
      </c>
      <c r="K257" s="12" t="s">
        <v>69</v>
      </c>
      <c r="L257" s="13" t="s">
        <v>70</v>
      </c>
      <c r="M257" s="3" t="s">
        <v>66</v>
      </c>
      <c r="N257" s="49">
        <v>0</v>
      </c>
      <c r="O257" s="445">
        <v>0</v>
      </c>
      <c r="P257" s="49">
        <v>0</v>
      </c>
      <c r="Q257" s="59">
        <f>IF(Provozování!$AA$16="Neaktivní",0,Provozování!AB49)</f>
        <v>0</v>
      </c>
      <c r="T257" s="12" t="s">
        <v>69</v>
      </c>
      <c r="U257" s="13" t="s">
        <v>70</v>
      </c>
      <c r="V257" s="3" t="s">
        <v>66</v>
      </c>
      <c r="W257" s="445">
        <v>0</v>
      </c>
      <c r="X257" s="445">
        <v>0</v>
      </c>
      <c r="Y257" s="445">
        <v>0</v>
      </c>
      <c r="Z257" s="595">
        <v>0</v>
      </c>
      <c r="AA257" s="49">
        <f>IF(Provozování!$AA$16="Neaktivní",H257,H257*Výpočty!$K$58+Q257)</f>
        <v>1.4E-2</v>
      </c>
      <c r="AB257" s="32">
        <f t="shared" ref="AB257:AB262" si="114">Z257-AA257</f>
        <v>-1.4E-2</v>
      </c>
      <c r="AC257" s="183"/>
      <c r="AD257" s="183"/>
      <c r="AE257" s="533" t="s">
        <v>422</v>
      </c>
      <c r="AF257" s="533"/>
      <c r="AG257" s="453">
        <f>IF(AG253&gt;0,AG253/AG250,0)</f>
        <v>0</v>
      </c>
      <c r="AH257" s="453">
        <f ca="1">IF(AH253&gt;0,AH253/AH250,0)</f>
        <v>0</v>
      </c>
      <c r="AK257" s="183"/>
      <c r="AL257" s="183"/>
      <c r="AM257" s="183"/>
      <c r="AN257" s="183"/>
    </row>
    <row r="258" spans="2:40" x14ac:dyDescent="0.25">
      <c r="B258" s="12" t="s">
        <v>71</v>
      </c>
      <c r="C258" s="13" t="s">
        <v>68</v>
      </c>
      <c r="D258" s="3" t="s">
        <v>66</v>
      </c>
      <c r="E258" s="49">
        <v>0</v>
      </c>
      <c r="F258" s="445">
        <v>0</v>
      </c>
      <c r="G258" s="49">
        <v>0</v>
      </c>
      <c r="H258" s="32">
        <f>IF(YEAR(Postup!$H$25)&gt;$D$214,Provozování!Z50,IF(AND(DAY(Postup!$H$25)=31,MONTH(Postup!$H$25)=12,YEAR(Postup!$H$25)=$D$214),Provozování!Z50,IF(YEAR(Postup!$H$25)=$D$214,Provozování!$BM50,0)))</f>
        <v>7.4190000000000002E-3</v>
      </c>
      <c r="K258" s="12" t="s">
        <v>71</v>
      </c>
      <c r="L258" s="13" t="s">
        <v>68</v>
      </c>
      <c r="M258" s="3" t="s">
        <v>66</v>
      </c>
      <c r="N258" s="49">
        <v>0</v>
      </c>
      <c r="O258" s="445">
        <v>0</v>
      </c>
      <c r="P258" s="49">
        <v>0</v>
      </c>
      <c r="Q258" s="59">
        <f>IF(Provozování!$AA$16="Neaktivní",0,Provozování!AB50)</f>
        <v>0</v>
      </c>
      <c r="T258" s="12" t="s">
        <v>71</v>
      </c>
      <c r="U258" s="13" t="s">
        <v>68</v>
      </c>
      <c r="V258" s="3" t="s">
        <v>66</v>
      </c>
      <c r="W258" s="445">
        <v>0</v>
      </c>
      <c r="X258" s="445">
        <v>0</v>
      </c>
      <c r="Y258" s="445">
        <v>0</v>
      </c>
      <c r="Z258" s="595">
        <v>0</v>
      </c>
      <c r="AA258" s="49">
        <f>IF(Provozování!$AA$16="Neaktivní",H258,H258*Výpočty!$K$58+Q258)</f>
        <v>7.4190000000000002E-3</v>
      </c>
      <c r="AB258" s="32">
        <f t="shared" si="114"/>
        <v>-7.4190000000000002E-3</v>
      </c>
      <c r="AC258" s="183"/>
      <c r="AD258" s="183"/>
      <c r="AE258" s="556" t="s">
        <v>402</v>
      </c>
      <c r="AF258" s="556"/>
      <c r="AG258" s="961">
        <f>IF(AG257&gt;0,AG250*AI259*0.5,0)</f>
        <v>0</v>
      </c>
      <c r="AH258" s="961">
        <f ca="1">IF(AH257&gt;0,AH250*AJ259*0.5,0)</f>
        <v>0</v>
      </c>
      <c r="AK258" s="183"/>
      <c r="AL258" s="183"/>
      <c r="AM258" s="183"/>
      <c r="AN258" s="183"/>
    </row>
    <row r="259" spans="2:40" x14ac:dyDescent="0.25">
      <c r="B259" s="12" t="s">
        <v>72</v>
      </c>
      <c r="C259" s="13" t="s">
        <v>73</v>
      </c>
      <c r="D259" s="3" t="s">
        <v>66</v>
      </c>
      <c r="E259" s="49">
        <v>0</v>
      </c>
      <c r="F259" s="445">
        <v>0</v>
      </c>
      <c r="G259" s="49">
        <v>0</v>
      </c>
      <c r="H259" s="32">
        <f>IF(YEAR(Postup!$H$25)&gt;$D$214,Provozování!Z51,IF(AND(DAY(Postup!$H$25)=31,MONTH(Postup!$H$25)=12,YEAR(Postup!$H$25)=$D$214),Provozování!Z51,IF(YEAR(Postup!$H$25)=$D$214,Provozování!$BM51,0)))</f>
        <v>0</v>
      </c>
      <c r="K259" s="12" t="s">
        <v>72</v>
      </c>
      <c r="L259" s="13" t="s">
        <v>73</v>
      </c>
      <c r="M259" s="3" t="s">
        <v>66</v>
      </c>
      <c r="N259" s="49">
        <v>0</v>
      </c>
      <c r="O259" s="445">
        <v>0</v>
      </c>
      <c r="P259" s="49">
        <v>0</v>
      </c>
      <c r="Q259" s="59">
        <f>IF(Provozování!$AA$16="Neaktivní",0,Provozování!AB51)</f>
        <v>0</v>
      </c>
      <c r="T259" s="12" t="s">
        <v>72</v>
      </c>
      <c r="U259" s="13" t="s">
        <v>73</v>
      </c>
      <c r="V259" s="3" t="s">
        <v>66</v>
      </c>
      <c r="W259" s="445">
        <v>0</v>
      </c>
      <c r="X259" s="445">
        <v>0</v>
      </c>
      <c r="Y259" s="445">
        <v>0</v>
      </c>
      <c r="Z259" s="595">
        <v>0</v>
      </c>
      <c r="AA259" s="49">
        <f>IF(Provozování!$AA$16="Neaktivní",H259,H259*Výpočty!$K$58+Q259)</f>
        <v>0</v>
      </c>
      <c r="AB259" s="32">
        <f t="shared" si="114"/>
        <v>0</v>
      </c>
      <c r="AC259" s="183"/>
      <c r="AD259" s="183"/>
      <c r="AE259" s="557" t="s">
        <v>413</v>
      </c>
      <c r="AF259" s="557"/>
      <c r="AG259" s="962"/>
      <c r="AH259" s="962"/>
      <c r="AI259" s="454">
        <f>IF(AG257&gt;0.05,0.05,AG257)</f>
        <v>0</v>
      </c>
      <c r="AJ259" s="454">
        <f ca="1">IF(AH257&gt;0.05,0.05,AH257)</f>
        <v>0</v>
      </c>
      <c r="AK259" s="183"/>
      <c r="AL259" s="183"/>
      <c r="AM259" s="183"/>
      <c r="AN259" s="183"/>
    </row>
    <row r="260" spans="2:40" x14ac:dyDescent="0.25">
      <c r="B260" s="12" t="s">
        <v>74</v>
      </c>
      <c r="C260" s="13" t="s">
        <v>75</v>
      </c>
      <c r="D260" s="3" t="s">
        <v>66</v>
      </c>
      <c r="E260" s="49">
        <v>0</v>
      </c>
      <c r="F260" s="445">
        <v>0</v>
      </c>
      <c r="G260" s="49">
        <v>0</v>
      </c>
      <c r="H260" s="32">
        <f>IF(YEAR(Postup!$H$25)&gt;$D$214,Provozování!Z52,IF(AND(DAY(Postup!$H$25)=31,MONTH(Postup!$H$25)=12,YEAR(Postup!$H$25)=$D$214),Provozování!Z52,IF(YEAR(Postup!$H$25)=$D$214,Provozování!$BM52,0)))</f>
        <v>0</v>
      </c>
      <c r="K260" s="12" t="s">
        <v>74</v>
      </c>
      <c r="L260" s="13" t="s">
        <v>75</v>
      </c>
      <c r="M260" s="3" t="s">
        <v>66</v>
      </c>
      <c r="N260" s="49">
        <v>0</v>
      </c>
      <c r="O260" s="445">
        <v>0</v>
      </c>
      <c r="P260" s="49">
        <v>0</v>
      </c>
      <c r="Q260" s="59">
        <f>IF(Provozování!$AA$16="Neaktivní",0,Provozování!AB52)</f>
        <v>0</v>
      </c>
      <c r="T260" s="12" t="s">
        <v>74</v>
      </c>
      <c r="U260" s="13" t="s">
        <v>75</v>
      </c>
      <c r="V260" s="3" t="s">
        <v>66</v>
      </c>
      <c r="W260" s="445">
        <v>0</v>
      </c>
      <c r="X260" s="445">
        <v>0</v>
      </c>
      <c r="Y260" s="445">
        <v>0</v>
      </c>
      <c r="Z260" s="595">
        <v>0</v>
      </c>
      <c r="AA260" s="49">
        <f>IF(Provozování!$AA$16="Neaktivní",H260,H260*Výpočty!$K$58+Q260)</f>
        <v>0</v>
      </c>
      <c r="AB260" s="32">
        <f t="shared" si="114"/>
        <v>0</v>
      </c>
      <c r="AC260" s="183"/>
      <c r="AD260" s="183"/>
      <c r="AE260" s="534" t="s">
        <v>414</v>
      </c>
      <c r="AF260" s="534"/>
      <c r="AG260" s="360">
        <f>IF(AI260&gt;0,AG250*(AI260-0.05)*0.8,0)</f>
        <v>0</v>
      </c>
      <c r="AH260" s="360">
        <f ca="1">IF(AJ260&gt;0,AH250*(AJ260-0.05)*0.8,0)</f>
        <v>0</v>
      </c>
      <c r="AI260" s="454">
        <f>IF(AND(AG257&gt;0.05,AG257&lt;=0.1),AG257,IF(AG257&lt;=0.05,0,0.1))</f>
        <v>0</v>
      </c>
      <c r="AJ260" s="454">
        <f ca="1">IF(AND(AH257&gt;0.05,AH257&lt;=0.1),AH257,IF(AH257&lt;=0.05,0,0.1))</f>
        <v>0</v>
      </c>
      <c r="AK260" s="183"/>
      <c r="AL260" s="183"/>
      <c r="AM260" s="183"/>
      <c r="AN260" s="183"/>
    </row>
    <row r="261" spans="2:40" x14ac:dyDescent="0.25">
      <c r="B261" s="12" t="s">
        <v>76</v>
      </c>
      <c r="C261" s="13" t="s">
        <v>77</v>
      </c>
      <c r="D261" s="3" t="s">
        <v>66</v>
      </c>
      <c r="E261" s="49">
        <v>0</v>
      </c>
      <c r="F261" s="49">
        <f>IF(YEAR(Postup!$H$25)&gt;$D$214,Provozování!Y53,IF(AND(DAY(Postup!$H$25)=31,MONTH(Postup!$H$25)=12,YEAR(Postup!$H$25)=$D$214),Provozování!Y53,IF(YEAR(Postup!$H$25)=$D$214,Provozování!$BL53,0)))</f>
        <v>0</v>
      </c>
      <c r="G261" s="49">
        <v>0</v>
      </c>
      <c r="H261" s="32">
        <f>IF(YEAR(Postup!$H$25)&gt;$D$214,Provozování!Z53,IF(AND(DAY(Postup!$H$25)=31,MONTH(Postup!$H$25)=12,YEAR(Postup!$H$25)=$D$214),Provozování!Z53,IF(YEAR(Postup!$H$25)=$D$214,Provozování!$BM53,0)))</f>
        <v>0</v>
      </c>
      <c r="K261" s="12" t="s">
        <v>76</v>
      </c>
      <c r="L261" s="13" t="s">
        <v>77</v>
      </c>
      <c r="M261" s="3" t="s">
        <v>66</v>
      </c>
      <c r="N261" s="49">
        <v>0</v>
      </c>
      <c r="O261" s="49">
        <f>IF(Provozování!$AA$16="Neaktivní",0,Provozování!AA53)</f>
        <v>0</v>
      </c>
      <c r="P261" s="49">
        <v>0</v>
      </c>
      <c r="Q261" s="59">
        <f>IF(Provozování!$AA$16="Neaktivní",0,Provozování!AB53)</f>
        <v>0</v>
      </c>
      <c r="T261" s="12" t="s">
        <v>76</v>
      </c>
      <c r="U261" s="13" t="s">
        <v>77</v>
      </c>
      <c r="V261" s="3" t="s">
        <v>66</v>
      </c>
      <c r="W261" s="595">
        <v>0</v>
      </c>
      <c r="X261" s="49">
        <f>IF(Provozování!$AA$16="Neaktivní",F261,F261*Výpočty!$K$58+O261)</f>
        <v>0</v>
      </c>
      <c r="Y261" s="49">
        <f>W261-X261</f>
        <v>0</v>
      </c>
      <c r="Z261" s="595">
        <v>0</v>
      </c>
      <c r="AA261" s="49">
        <f>IF(Provozování!$AA$16="Neaktivní",H261,H261*Výpočty!$K$58+Q261)</f>
        <v>0</v>
      </c>
      <c r="AB261" s="32">
        <f t="shared" si="114"/>
        <v>0</v>
      </c>
      <c r="AC261" s="183"/>
      <c r="AD261" s="183"/>
      <c r="AE261" s="534" t="s">
        <v>415</v>
      </c>
      <c r="AF261" s="534"/>
      <c r="AG261" s="360">
        <f>IF(AI261&gt;0,AG250*(AI261-0.1)*1,0)</f>
        <v>0</v>
      </c>
      <c r="AH261" s="360">
        <f ca="1">IF(AJ261&gt;0,AH250*(AJ261-0.1)*1,0)</f>
        <v>0</v>
      </c>
      <c r="AI261" s="454">
        <f>IF(AG257&gt;0.1,AG257,0)</f>
        <v>0</v>
      </c>
      <c r="AJ261" s="454">
        <f ca="1">IF(AH257&gt;0.1,AH257,0)</f>
        <v>0</v>
      </c>
      <c r="AK261" s="183"/>
      <c r="AL261" s="183"/>
      <c r="AM261" s="183"/>
      <c r="AN261" s="183"/>
    </row>
    <row r="262" spans="2:40" x14ac:dyDescent="0.25">
      <c r="B262" s="12" t="s">
        <v>78</v>
      </c>
      <c r="C262" s="13" t="s">
        <v>79</v>
      </c>
      <c r="D262" s="3" t="s">
        <v>66</v>
      </c>
      <c r="E262" s="49">
        <v>0</v>
      </c>
      <c r="F262" s="49">
        <f>IF(YEAR(Postup!$H$25)&gt;$D$214,Provozování!Y54,IF(AND(DAY(Postup!$H$25)=31,MONTH(Postup!$H$25)=12,YEAR(Postup!$H$25)=$D$214),Provozování!Y54,IF(YEAR(Postup!$H$25)=$D$214,Provozování!$BL54,0)))</f>
        <v>0</v>
      </c>
      <c r="G262" s="49">
        <v>0</v>
      </c>
      <c r="H262" s="32">
        <f>IF(YEAR(Postup!$H$25)&gt;$D$214,Provozování!Z54,IF(AND(DAY(Postup!$H$25)=31,MONTH(Postup!$H$25)=12,YEAR(Postup!$H$25)=$D$214),Provozování!Z54,IF(YEAR(Postup!$H$25)=$D$214,Provozování!$BM54,0)))</f>
        <v>1.4E-2</v>
      </c>
      <c r="K262" s="12" t="s">
        <v>78</v>
      </c>
      <c r="L262" s="13" t="s">
        <v>79</v>
      </c>
      <c r="M262" s="3" t="s">
        <v>66</v>
      </c>
      <c r="N262" s="49">
        <v>0</v>
      </c>
      <c r="O262" s="49">
        <f>IF(Provozování!$AA$16="Neaktivní",0,Provozování!AA54)</f>
        <v>0</v>
      </c>
      <c r="P262" s="49">
        <v>0</v>
      </c>
      <c r="Q262" s="32">
        <f>IF(Provozování!$AA$16="Neaktivní",0,Provozování!AB54)</f>
        <v>0</v>
      </c>
      <c r="T262" s="12" t="s">
        <v>78</v>
      </c>
      <c r="U262" s="13" t="s">
        <v>79</v>
      </c>
      <c r="V262" s="3" t="s">
        <v>66</v>
      </c>
      <c r="W262" s="595">
        <v>0</v>
      </c>
      <c r="X262" s="49">
        <f>IF(Provozování!$AA$16="Neaktivní",F262,F262*Výpočty!$K$58+O262)</f>
        <v>0</v>
      </c>
      <c r="Y262" s="49">
        <f>W262-X262</f>
        <v>0</v>
      </c>
      <c r="Z262" s="595">
        <v>0</v>
      </c>
      <c r="AA262" s="49">
        <f>IF(Provozování!$AA$16="Neaktivní",H262,H262*Výpočty!$K$58+Q262)</f>
        <v>1.4E-2</v>
      </c>
      <c r="AB262" s="32">
        <f t="shared" si="114"/>
        <v>-1.4E-2</v>
      </c>
      <c r="AC262" s="183"/>
      <c r="AD262" s="183"/>
      <c r="AE262" s="532" t="s">
        <v>403</v>
      </c>
      <c r="AF262" s="532"/>
      <c r="AG262" s="455">
        <f>SUM(AG258:AG261)</f>
        <v>0</v>
      </c>
      <c r="AH262" s="455">
        <f ca="1">SUM(AH258:AH261)</f>
        <v>0</v>
      </c>
      <c r="AK262" s="183"/>
      <c r="AL262" s="183"/>
      <c r="AM262" s="183"/>
      <c r="AN262" s="183"/>
    </row>
    <row r="263" spans="2:40" x14ac:dyDescent="0.25">
      <c r="B263" s="1"/>
      <c r="C263" s="1"/>
      <c r="D263" s="1"/>
      <c r="E263" s="1"/>
      <c r="F263" s="456"/>
      <c r="G263" s="1"/>
      <c r="H263" s="456"/>
      <c r="K263" s="1"/>
      <c r="L263" s="1"/>
      <c r="M263" s="1"/>
      <c r="N263" s="1"/>
      <c r="O263" s="1"/>
      <c r="P263" s="1"/>
      <c r="Q263" s="1"/>
      <c r="T263" s="1"/>
      <c r="U263" s="1"/>
      <c r="V263" s="1"/>
      <c r="W263" s="1"/>
      <c r="X263" s="1"/>
      <c r="Y263" s="1"/>
      <c r="Z263" s="1"/>
      <c r="AA263" s="1"/>
      <c r="AB263" s="1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</row>
    <row r="264" spans="2:40" x14ac:dyDescent="0.25">
      <c r="B264" s="932" t="s">
        <v>5</v>
      </c>
      <c r="C264" s="721" t="s">
        <v>80</v>
      </c>
      <c r="D264" s="722"/>
      <c r="E264" s="723"/>
      <c r="F264" s="724"/>
      <c r="G264" s="722"/>
      <c r="H264" s="725"/>
      <c r="K264" s="932" t="s">
        <v>5</v>
      </c>
      <c r="L264" s="721" t="s">
        <v>80</v>
      </c>
      <c r="M264" s="722"/>
      <c r="N264" s="723"/>
      <c r="O264" s="724"/>
      <c r="P264" s="722"/>
      <c r="Q264" s="725"/>
      <c r="T264" s="771" t="s">
        <v>5</v>
      </c>
      <c r="U264" s="721" t="s">
        <v>80</v>
      </c>
      <c r="V264" s="722"/>
      <c r="W264" s="723"/>
      <c r="X264" s="723"/>
      <c r="Y264" s="724"/>
      <c r="Z264" s="722"/>
      <c r="AA264" s="722"/>
      <c r="AB264" s="725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</row>
    <row r="265" spans="2:40" x14ac:dyDescent="0.25">
      <c r="B265" s="930"/>
      <c r="C265" s="932" t="s">
        <v>81</v>
      </c>
      <c r="D265" s="929" t="s">
        <v>173</v>
      </c>
      <c r="E265" s="874" t="s">
        <v>118</v>
      </c>
      <c r="F265" s="937"/>
      <c r="G265" s="26" t="s">
        <v>3</v>
      </c>
      <c r="H265" s="23" t="s">
        <v>4</v>
      </c>
      <c r="K265" s="930"/>
      <c r="L265" s="5" t="s">
        <v>81</v>
      </c>
      <c r="M265" s="929" t="s">
        <v>173</v>
      </c>
      <c r="N265" s="874" t="s">
        <v>118</v>
      </c>
      <c r="O265" s="937"/>
      <c r="P265" s="26" t="s">
        <v>3</v>
      </c>
      <c r="Q265" s="23" t="s">
        <v>4</v>
      </c>
      <c r="T265" s="934"/>
      <c r="U265" s="932" t="s">
        <v>81</v>
      </c>
      <c r="V265" s="929" t="s">
        <v>173</v>
      </c>
      <c r="W265" s="874" t="s">
        <v>118</v>
      </c>
      <c r="X265" s="937"/>
      <c r="Y265" s="874" t="s">
        <v>3</v>
      </c>
      <c r="Z265" s="939"/>
      <c r="AA265" s="940" t="s">
        <v>4</v>
      </c>
      <c r="AB265" s="940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</row>
    <row r="266" spans="2:40" x14ac:dyDescent="0.25">
      <c r="B266" s="931"/>
      <c r="C266" s="931"/>
      <c r="D266" s="936"/>
      <c r="E266" s="875"/>
      <c r="F266" s="938"/>
      <c r="G266" s="27" t="s">
        <v>7</v>
      </c>
      <c r="H266" s="24" t="s">
        <v>7</v>
      </c>
      <c r="K266" s="931"/>
      <c r="L266" s="8"/>
      <c r="M266" s="936"/>
      <c r="N266" s="875"/>
      <c r="O266" s="938"/>
      <c r="P266" s="27" t="s">
        <v>7</v>
      </c>
      <c r="Q266" s="24" t="s">
        <v>7</v>
      </c>
      <c r="T266" s="935"/>
      <c r="U266" s="931"/>
      <c r="V266" s="936"/>
      <c r="W266" s="875"/>
      <c r="X266" s="938"/>
      <c r="Y266" s="40" t="s">
        <v>196</v>
      </c>
      <c r="Z266" s="40" t="s">
        <v>7</v>
      </c>
      <c r="AA266" s="40" t="s">
        <v>196</v>
      </c>
      <c r="AB266" s="40" t="s">
        <v>7</v>
      </c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</row>
    <row r="267" spans="2:40" x14ac:dyDescent="0.25">
      <c r="B267" s="11">
        <v>1</v>
      </c>
      <c r="C267" s="11">
        <v>2</v>
      </c>
      <c r="D267" s="11" t="s">
        <v>111</v>
      </c>
      <c r="E267" s="735" t="s">
        <v>115</v>
      </c>
      <c r="F267" s="736"/>
      <c r="G267" s="11" t="s">
        <v>116</v>
      </c>
      <c r="H267" s="22" t="s">
        <v>117</v>
      </c>
      <c r="K267" s="11">
        <v>1</v>
      </c>
      <c r="L267" s="11">
        <v>2</v>
      </c>
      <c r="M267" s="11" t="s">
        <v>111</v>
      </c>
      <c r="N267" s="735" t="s">
        <v>115</v>
      </c>
      <c r="O267" s="736"/>
      <c r="P267" s="11" t="s">
        <v>116</v>
      </c>
      <c r="Q267" s="22" t="s">
        <v>117</v>
      </c>
      <c r="T267" s="11">
        <v>1</v>
      </c>
      <c r="U267" s="11">
        <v>2</v>
      </c>
      <c r="V267" s="11" t="s">
        <v>111</v>
      </c>
      <c r="W267" s="944" t="s">
        <v>115</v>
      </c>
      <c r="X267" s="945"/>
      <c r="Y267" s="11" t="s">
        <v>201</v>
      </c>
      <c r="Z267" s="11" t="s">
        <v>116</v>
      </c>
      <c r="AA267" s="11" t="s">
        <v>200</v>
      </c>
      <c r="AB267" s="22" t="s">
        <v>117</v>
      </c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</row>
    <row r="268" spans="2:40" x14ac:dyDescent="0.25">
      <c r="B268" s="12" t="s">
        <v>82</v>
      </c>
      <c r="C268" s="13" t="s">
        <v>127</v>
      </c>
      <c r="D268" s="13" t="s">
        <v>83</v>
      </c>
      <c r="E268" s="732" t="s">
        <v>120</v>
      </c>
      <c r="F268" s="733"/>
      <c r="G268" s="171">
        <f>IF(G274=0,0,G269/G274)</f>
        <v>0</v>
      </c>
      <c r="H268" s="172">
        <f ca="1">IF(H274=0,0,H269/H274)</f>
        <v>31.428571428571423</v>
      </c>
      <c r="K268" s="12" t="s">
        <v>82</v>
      </c>
      <c r="L268" s="13" t="s">
        <v>127</v>
      </c>
      <c r="M268" s="13" t="s">
        <v>83</v>
      </c>
      <c r="N268" s="732" t="s">
        <v>120</v>
      </c>
      <c r="O268" s="733"/>
      <c r="P268" s="171">
        <f>IF(P274=0,0,P269/P274)</f>
        <v>0</v>
      </c>
      <c r="Q268" s="172">
        <f>IF(Q274=0,0,Q269/Q274)</f>
        <v>0</v>
      </c>
      <c r="T268" s="12" t="s">
        <v>82</v>
      </c>
      <c r="U268" s="13" t="s">
        <v>127</v>
      </c>
      <c r="V268" s="13" t="s">
        <v>83</v>
      </c>
      <c r="W268" s="13" t="s">
        <v>120</v>
      </c>
      <c r="X268" s="101"/>
      <c r="Y268" s="171">
        <f t="shared" ref="Y268:AB268" si="115">IF(Y274=0,0,Y269/Y274)</f>
        <v>0</v>
      </c>
      <c r="Z268" s="171">
        <f t="shared" si="115"/>
        <v>0</v>
      </c>
      <c r="AA268" s="171">
        <f t="shared" si="115"/>
        <v>0</v>
      </c>
      <c r="AB268" s="172">
        <f t="shared" ca="1" si="115"/>
        <v>31.428571428571423</v>
      </c>
      <c r="AC268" s="183"/>
      <c r="AD268" s="183"/>
      <c r="AE268" s="183"/>
      <c r="AF268" s="183"/>
      <c r="AG268" s="183"/>
      <c r="AH268" s="183"/>
      <c r="AI268" s="183"/>
      <c r="AJ268" s="183"/>
      <c r="AK268" s="183"/>
      <c r="AL268" s="183"/>
      <c r="AM268" s="183"/>
      <c r="AN268" s="183"/>
    </row>
    <row r="269" spans="2:40" x14ac:dyDescent="0.25">
      <c r="B269" s="12" t="s">
        <v>84</v>
      </c>
      <c r="C269" s="13" t="s">
        <v>85</v>
      </c>
      <c r="D269" s="13" t="s">
        <v>10</v>
      </c>
      <c r="E269" s="732" t="s">
        <v>121</v>
      </c>
      <c r="F269" s="733"/>
      <c r="G269" s="448">
        <f>F251</f>
        <v>0</v>
      </c>
      <c r="H269" s="449">
        <f ca="1">H251</f>
        <v>0.43999999999999995</v>
      </c>
      <c r="K269" s="12" t="s">
        <v>84</v>
      </c>
      <c r="L269" s="13" t="s">
        <v>85</v>
      </c>
      <c r="M269" s="13" t="s">
        <v>10</v>
      </c>
      <c r="N269" s="732" t="s">
        <v>121</v>
      </c>
      <c r="O269" s="733"/>
      <c r="P269" s="448">
        <f>O251</f>
        <v>0</v>
      </c>
      <c r="Q269" s="449">
        <f>Q251</f>
        <v>0</v>
      </c>
      <c r="T269" s="12" t="s">
        <v>84</v>
      </c>
      <c r="U269" s="13" t="s">
        <v>85</v>
      </c>
      <c r="V269" s="13" t="s">
        <v>10</v>
      </c>
      <c r="W269" s="13" t="s">
        <v>121</v>
      </c>
      <c r="X269" s="101"/>
      <c r="Y269" s="14">
        <f>W251</f>
        <v>0</v>
      </c>
      <c r="Z269" s="14">
        <f>X251</f>
        <v>0</v>
      </c>
      <c r="AA269" s="14">
        <f>Z251</f>
        <v>0</v>
      </c>
      <c r="AB269" s="15">
        <f ca="1">AA251</f>
        <v>0.43999999999999995</v>
      </c>
      <c r="AC269" s="183"/>
      <c r="AD269" s="183"/>
      <c r="AE269" s="183"/>
      <c r="AF269" s="183"/>
      <c r="AG269" s="183"/>
      <c r="AH269" s="183"/>
      <c r="AI269" s="183"/>
      <c r="AJ269" s="183"/>
      <c r="AK269" s="183"/>
      <c r="AL269" s="183"/>
      <c r="AM269" s="183"/>
      <c r="AN269" s="183"/>
    </row>
    <row r="270" spans="2:40" x14ac:dyDescent="0.25">
      <c r="B270" s="12" t="s">
        <v>86</v>
      </c>
      <c r="C270" s="13" t="s">
        <v>87</v>
      </c>
      <c r="D270" s="13" t="s">
        <v>10</v>
      </c>
      <c r="E270" s="732"/>
      <c r="F270" s="733"/>
      <c r="G270" s="448">
        <f>IF(YEAR(Postup!$H$25)&gt;$D$214,Provozování!Y$85,IF(AND(DAY(Postup!$H$25)=31,MONTH(Postup!$H$25)=12,YEAR(Postup!$H$25)=$D$214),Provozování!Y$85,IF(YEAR(Postup!$H$25)=$D$214,Provozování!$BL85,0)))</f>
        <v>0</v>
      </c>
      <c r="H270" s="449">
        <f ca="1">IF(YEAR(Postup!$H$25)&gt;$D$214,Provozování!Z$85,IF(AND(DAY(Postup!$H$25)=31,MONTH(Postup!$H$25)=12,YEAR(Postup!$H$25)=$D$214),Provozování!Z$85,IF(YEAR(Postup!$H$25)=$D$214,Provozování!$BM85,0)))</f>
        <v>7.758654207907981E-3</v>
      </c>
      <c r="K270" s="12" t="s">
        <v>86</v>
      </c>
      <c r="L270" s="13" t="s">
        <v>87</v>
      </c>
      <c r="M270" s="13" t="s">
        <v>10</v>
      </c>
      <c r="N270" s="732"/>
      <c r="O270" s="733"/>
      <c r="P270" s="448">
        <f>IF(Provozování!$AA$16="Neaktivní",0,Provozování!AA85)</f>
        <v>0</v>
      </c>
      <c r="Q270" s="449">
        <f>IF(Provozování!AA$16="Neaktivní",0,Provozování!AB85)</f>
        <v>0</v>
      </c>
      <c r="T270" s="12" t="s">
        <v>86</v>
      </c>
      <c r="U270" s="13" t="s">
        <v>87</v>
      </c>
      <c r="V270" s="13" t="s">
        <v>10</v>
      </c>
      <c r="W270" s="13"/>
      <c r="X270" s="101"/>
      <c r="Y270" s="595">
        <v>0</v>
      </c>
      <c r="Z270" s="14">
        <f>IF(Provozování!$AA$16="Neaktivní",G270,G270*Výpočty!$K$58+P270)</f>
        <v>0</v>
      </c>
      <c r="AA270" s="595">
        <v>0</v>
      </c>
      <c r="AB270" s="15">
        <f ca="1">IF(Provozování!$AA$16="Neaktivní",H270,H270*Výpočty!$K$58+Q270)</f>
        <v>7.758654207907981E-3</v>
      </c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</row>
    <row r="271" spans="2:40" x14ac:dyDescent="0.25">
      <c r="B271" s="12" t="s">
        <v>88</v>
      </c>
      <c r="C271" s="21" t="s">
        <v>89</v>
      </c>
      <c r="D271" s="13" t="s">
        <v>90</v>
      </c>
      <c r="E271" s="732" t="s">
        <v>123</v>
      </c>
      <c r="F271" s="733"/>
      <c r="G271" s="171">
        <f>IF(G269=0,0,G270/G269*100)</f>
        <v>0</v>
      </c>
      <c r="H271" s="172">
        <f ca="1">IF(H269=0,0,H270/H269*100)</f>
        <v>1.7633305017972687</v>
      </c>
      <c r="K271" s="12" t="s">
        <v>88</v>
      </c>
      <c r="L271" s="21" t="s">
        <v>89</v>
      </c>
      <c r="M271" s="13" t="s">
        <v>90</v>
      </c>
      <c r="N271" s="732" t="s">
        <v>123</v>
      </c>
      <c r="O271" s="733"/>
      <c r="P271" s="171">
        <f>IF(P269=0,0,P270/P269*100)</f>
        <v>0</v>
      </c>
      <c r="Q271" s="172">
        <f>IF(Q269=0,0,Q270/Q269*100)</f>
        <v>0</v>
      </c>
      <c r="T271" s="12" t="s">
        <v>88</v>
      </c>
      <c r="U271" s="21" t="s">
        <v>89</v>
      </c>
      <c r="V271" s="13" t="s">
        <v>90</v>
      </c>
      <c r="W271" s="13" t="s">
        <v>123</v>
      </c>
      <c r="X271" s="101"/>
      <c r="Y271" s="171">
        <f t="shared" ref="Y271:AB271" si="116">IF(Y269=0,0,Y270/Y269*100)</f>
        <v>0</v>
      </c>
      <c r="Z271" s="171">
        <f t="shared" si="116"/>
        <v>0</v>
      </c>
      <c r="AA271" s="171">
        <f t="shared" si="116"/>
        <v>0</v>
      </c>
      <c r="AB271" s="172">
        <f t="shared" ca="1" si="116"/>
        <v>1.7633305017972687</v>
      </c>
      <c r="AC271" s="183"/>
      <c r="AD271" s="183"/>
      <c r="AE271" s="183"/>
      <c r="AF271" s="183"/>
      <c r="AG271" s="183"/>
      <c r="AH271" s="183"/>
      <c r="AI271" s="183"/>
      <c r="AJ271" s="183"/>
      <c r="AK271" s="183"/>
      <c r="AL271" s="183"/>
      <c r="AM271" s="183"/>
      <c r="AN271" s="183"/>
    </row>
    <row r="272" spans="2:40" x14ac:dyDescent="0.25">
      <c r="B272" s="12" t="s">
        <v>91</v>
      </c>
      <c r="C272" s="21" t="s">
        <v>92</v>
      </c>
      <c r="D272" s="13" t="s">
        <v>10</v>
      </c>
      <c r="E272" s="732"/>
      <c r="F272" s="733"/>
      <c r="G272" s="411">
        <v>0</v>
      </c>
      <c r="H272" s="136">
        <v>0</v>
      </c>
      <c r="K272" s="12" t="s">
        <v>91</v>
      </c>
      <c r="L272" s="21" t="s">
        <v>92</v>
      </c>
      <c r="M272" s="13" t="s">
        <v>10</v>
      </c>
      <c r="N272" s="732"/>
      <c r="O272" s="733"/>
      <c r="P272" s="411">
        <v>0</v>
      </c>
      <c r="Q272" s="136">
        <v>0</v>
      </c>
      <c r="T272" s="12" t="s">
        <v>91</v>
      </c>
      <c r="U272" s="21" t="s">
        <v>92</v>
      </c>
      <c r="V272" s="13" t="s">
        <v>10</v>
      </c>
      <c r="W272" s="13"/>
      <c r="X272" s="101"/>
      <c r="Y272" s="445">
        <v>0</v>
      </c>
      <c r="Z272" s="445">
        <v>0</v>
      </c>
      <c r="AA272" s="445">
        <v>0</v>
      </c>
      <c r="AB272" s="442">
        <v>0</v>
      </c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</row>
    <row r="273" spans="1:40" x14ac:dyDescent="0.25">
      <c r="B273" s="12" t="s">
        <v>93</v>
      </c>
      <c r="C273" s="13" t="s">
        <v>94</v>
      </c>
      <c r="D273" s="13" t="s">
        <v>10</v>
      </c>
      <c r="E273" s="732" t="s">
        <v>122</v>
      </c>
      <c r="F273" s="733"/>
      <c r="G273" s="448">
        <f>G269+G270</f>
        <v>0</v>
      </c>
      <c r="H273" s="449">
        <f ca="1">H269+H270</f>
        <v>0.44775865420790795</v>
      </c>
      <c r="K273" s="12" t="s">
        <v>93</v>
      </c>
      <c r="L273" s="13" t="s">
        <v>94</v>
      </c>
      <c r="M273" s="13" t="s">
        <v>10</v>
      </c>
      <c r="N273" s="732" t="s">
        <v>122</v>
      </c>
      <c r="O273" s="733"/>
      <c r="P273" s="448">
        <f>P269+P270</f>
        <v>0</v>
      </c>
      <c r="Q273" s="449">
        <f>Q269+Q270</f>
        <v>0</v>
      </c>
      <c r="T273" s="12" t="s">
        <v>93</v>
      </c>
      <c r="U273" s="13" t="s">
        <v>94</v>
      </c>
      <c r="V273" s="13" t="s">
        <v>10</v>
      </c>
      <c r="W273" s="13" t="s">
        <v>122</v>
      </c>
      <c r="X273" s="101"/>
      <c r="Y273" s="448">
        <f t="shared" ref="Y273:AB273" si="117">Y269+Y270</f>
        <v>0</v>
      </c>
      <c r="Z273" s="448">
        <f t="shared" si="117"/>
        <v>0</v>
      </c>
      <c r="AA273" s="448">
        <f t="shared" si="117"/>
        <v>0</v>
      </c>
      <c r="AB273" s="449">
        <f t="shared" ca="1" si="117"/>
        <v>0.44775865420790795</v>
      </c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</row>
    <row r="274" spans="1:40" x14ac:dyDescent="0.25">
      <c r="B274" s="12" t="s">
        <v>95</v>
      </c>
      <c r="C274" s="13" t="s">
        <v>96</v>
      </c>
      <c r="D274" s="13" t="s">
        <v>66</v>
      </c>
      <c r="E274" s="732" t="s">
        <v>124</v>
      </c>
      <c r="F274" s="733"/>
      <c r="G274" s="448">
        <f>F255</f>
        <v>0</v>
      </c>
      <c r="H274" s="449">
        <f>H257+H259</f>
        <v>1.4E-2</v>
      </c>
      <c r="K274" s="12" t="s">
        <v>95</v>
      </c>
      <c r="L274" s="13" t="s">
        <v>96</v>
      </c>
      <c r="M274" s="13" t="s">
        <v>66</v>
      </c>
      <c r="N274" s="732" t="s">
        <v>124</v>
      </c>
      <c r="O274" s="733"/>
      <c r="P274" s="448">
        <f>O255</f>
        <v>0</v>
      </c>
      <c r="Q274" s="449">
        <f>Q257+Q259</f>
        <v>0</v>
      </c>
      <c r="T274" s="12" t="s">
        <v>95</v>
      </c>
      <c r="U274" s="13" t="s">
        <v>96</v>
      </c>
      <c r="V274" s="13" t="s">
        <v>66</v>
      </c>
      <c r="W274" s="13" t="s">
        <v>124</v>
      </c>
      <c r="X274" s="101"/>
      <c r="Y274" s="14">
        <f>W255</f>
        <v>0</v>
      </c>
      <c r="Z274" s="14">
        <f>X255</f>
        <v>0</v>
      </c>
      <c r="AA274" s="14">
        <f>Z257+Z259</f>
        <v>0</v>
      </c>
      <c r="AB274" s="15">
        <f>AA257+AA259</f>
        <v>1.4E-2</v>
      </c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</row>
    <row r="275" spans="1:40" x14ac:dyDescent="0.25">
      <c r="B275" s="12" t="s">
        <v>97</v>
      </c>
      <c r="C275" s="13" t="s">
        <v>98</v>
      </c>
      <c r="D275" s="13" t="s">
        <v>83</v>
      </c>
      <c r="E275" s="732" t="s">
        <v>125</v>
      </c>
      <c r="F275" s="733"/>
      <c r="G275" s="171">
        <f>IF(G274=0,0,G273/G274)</f>
        <v>0</v>
      </c>
      <c r="H275" s="172">
        <f ca="1">IF(H274=0,0,H273/H274)</f>
        <v>31.982761014850567</v>
      </c>
      <c r="K275" s="12" t="s">
        <v>97</v>
      </c>
      <c r="L275" s="13" t="s">
        <v>98</v>
      </c>
      <c r="M275" s="13" t="s">
        <v>83</v>
      </c>
      <c r="N275" s="732" t="s">
        <v>125</v>
      </c>
      <c r="O275" s="733"/>
      <c r="P275" s="171">
        <f>IF(P274=0,0,P273/P274)</f>
        <v>0</v>
      </c>
      <c r="Q275" s="172">
        <f>IF(Q274=0,0,Q273/Q274)</f>
        <v>0</v>
      </c>
      <c r="T275" s="12" t="s">
        <v>97</v>
      </c>
      <c r="U275" s="13" t="s">
        <v>98</v>
      </c>
      <c r="V275" s="13" t="s">
        <v>83</v>
      </c>
      <c r="W275" s="13" t="s">
        <v>125</v>
      </c>
      <c r="X275" s="101"/>
      <c r="Y275" s="171">
        <f t="shared" ref="Y275:AB275" si="118">IF(Y274=0,0,Y273/Y274)</f>
        <v>0</v>
      </c>
      <c r="Z275" s="171">
        <f t="shared" si="118"/>
        <v>0</v>
      </c>
      <c r="AA275" s="171">
        <f t="shared" si="118"/>
        <v>0</v>
      </c>
      <c r="AB275" s="172">
        <f t="shared" ca="1" si="118"/>
        <v>31.982761014850567</v>
      </c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</row>
    <row r="276" spans="1:40" x14ac:dyDescent="0.25">
      <c r="B276" s="12" t="s">
        <v>99</v>
      </c>
      <c r="C276" s="13" t="str">
        <f>CONCATENATE("CENA pro vodné, stočné + ",Provozování!Y$93*100,"% DPH")</f>
        <v>CENA pro vodné, stočné + 15% DPH</v>
      </c>
      <c r="D276" s="13" t="s">
        <v>83</v>
      </c>
      <c r="E276" s="732" t="s">
        <v>126</v>
      </c>
      <c r="F276" s="733"/>
      <c r="G276" s="171">
        <f>G275*(1+Provozování!Y$93)</f>
        <v>0</v>
      </c>
      <c r="H276" s="172">
        <f ca="1">H275*(1+Provozování!Z$93)</f>
        <v>36.780175167078148</v>
      </c>
      <c r="K276" s="12" t="s">
        <v>99</v>
      </c>
      <c r="L276" s="13" t="str">
        <f>C276</f>
        <v>CENA pro vodné, stočné + 15% DPH</v>
      </c>
      <c r="M276" s="13" t="s">
        <v>83</v>
      </c>
      <c r="N276" s="732" t="s">
        <v>126</v>
      </c>
      <c r="O276" s="733"/>
      <c r="P276" s="171">
        <f>P275*(1+Provozování!Y$93)</f>
        <v>0</v>
      </c>
      <c r="Q276" s="172">
        <f>Q275*(1+Provozování!Z$93)</f>
        <v>0</v>
      </c>
      <c r="T276" s="12" t="s">
        <v>99</v>
      </c>
      <c r="U276" s="13" t="str">
        <f>C276</f>
        <v>CENA pro vodné, stočné + 15% DPH</v>
      </c>
      <c r="V276" s="13" t="s">
        <v>83</v>
      </c>
      <c r="W276" s="13" t="s">
        <v>126</v>
      </c>
      <c r="X276" s="101"/>
      <c r="Y276" s="171">
        <f>Y275*(1+Provozování!Y$93)</f>
        <v>0</v>
      </c>
      <c r="Z276" s="171">
        <f>Z275*(1+Provozování!Y$93)</f>
        <v>0</v>
      </c>
      <c r="AA276" s="171">
        <f>AA275*(1+Provozování!Z$93)</f>
        <v>0</v>
      </c>
      <c r="AB276" s="172">
        <f ca="1">AB275*(1+Provozování!Z$93)</f>
        <v>36.780175167078148</v>
      </c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</row>
    <row r="277" spans="1:40" x14ac:dyDescent="0.25">
      <c r="T277" s="916" t="s">
        <v>203</v>
      </c>
      <c r="U277" s="916" t="s">
        <v>202</v>
      </c>
      <c r="V277" s="744" t="s">
        <v>10</v>
      </c>
      <c r="W277" s="919" t="s">
        <v>204</v>
      </c>
      <c r="X277" s="732"/>
      <c r="Y277" s="102" t="s">
        <v>206</v>
      </c>
      <c r="Z277" s="105" t="s">
        <v>207</v>
      </c>
      <c r="AA277" s="102" t="s">
        <v>206</v>
      </c>
      <c r="AB277" s="105" t="s">
        <v>207</v>
      </c>
      <c r="AC277" s="183"/>
      <c r="AD277" s="183"/>
      <c r="AE277" s="183"/>
      <c r="AF277" s="183"/>
      <c r="AG277" s="183"/>
      <c r="AH277" s="183"/>
      <c r="AI277" s="183"/>
      <c r="AJ277" s="183"/>
      <c r="AK277" s="183"/>
      <c r="AL277" s="183"/>
      <c r="AM277" s="183"/>
      <c r="AN277" s="183"/>
    </row>
    <row r="278" spans="1:40" x14ac:dyDescent="0.25">
      <c r="B278" s="500" t="s">
        <v>354</v>
      </c>
      <c r="T278" s="917"/>
      <c r="U278" s="917"/>
      <c r="V278" s="745"/>
      <c r="W278" s="920">
        <v>0</v>
      </c>
      <c r="X278" s="921"/>
      <c r="Y278" s="103">
        <f>W214</f>
        <v>2023</v>
      </c>
      <c r="Z278" s="103">
        <f>W214</f>
        <v>2023</v>
      </c>
      <c r="AA278" s="103">
        <f>W214</f>
        <v>2023</v>
      </c>
      <c r="AB278" s="103">
        <f>W214</f>
        <v>2023</v>
      </c>
      <c r="AC278" s="183"/>
      <c r="AD278" s="183"/>
      <c r="AE278" s="183"/>
      <c r="AF278" s="183"/>
      <c r="AG278" s="183"/>
      <c r="AH278" s="183"/>
      <c r="AI278" s="183"/>
      <c r="AJ278" s="183"/>
      <c r="AK278" s="183"/>
      <c r="AL278" s="183"/>
      <c r="AM278" s="183"/>
      <c r="AN278" s="183"/>
    </row>
    <row r="279" spans="1:40" x14ac:dyDescent="0.25">
      <c r="B279" s="500" t="s">
        <v>355</v>
      </c>
      <c r="T279" s="917"/>
      <c r="U279" s="917"/>
      <c r="V279" s="745"/>
      <c r="W279" s="919" t="s">
        <v>205</v>
      </c>
      <c r="X279" s="732"/>
      <c r="Y279" s="104" t="s">
        <v>208</v>
      </c>
      <c r="Z279" s="104" t="s">
        <v>208</v>
      </c>
      <c r="AA279" s="104" t="s">
        <v>209</v>
      </c>
      <c r="AB279" s="104" t="s">
        <v>209</v>
      </c>
      <c r="AC279" s="183"/>
      <c r="AD279" s="183"/>
      <c r="AE279" s="183"/>
      <c r="AF279" s="183"/>
      <c r="AG279" s="183"/>
      <c r="AH279" s="183"/>
      <c r="AI279" s="183"/>
      <c r="AJ279" s="183"/>
      <c r="AK279" s="183"/>
      <c r="AL279" s="183"/>
      <c r="AM279" s="183"/>
      <c r="AN279" s="183"/>
    </row>
    <row r="280" spans="1:40" x14ac:dyDescent="0.25">
      <c r="T280" s="918"/>
      <c r="U280" s="918"/>
      <c r="V280" s="746"/>
      <c r="W280" s="922">
        <v>0</v>
      </c>
      <c r="X280" s="920"/>
      <c r="Y280" s="597">
        <v>0</v>
      </c>
      <c r="Z280" s="597">
        <v>0</v>
      </c>
      <c r="AA280" s="597">
        <v>0</v>
      </c>
      <c r="AB280" s="597">
        <v>0</v>
      </c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</row>
    <row r="281" spans="1:40" x14ac:dyDescent="0.25">
      <c r="A281" s="342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AC281" s="183"/>
      <c r="AD281" s="183"/>
      <c r="AE281" s="183"/>
      <c r="AF281" s="183"/>
      <c r="AG281" s="183"/>
      <c r="AH281" s="183"/>
      <c r="AI281" s="183"/>
      <c r="AJ281" s="183"/>
      <c r="AK281" s="183"/>
      <c r="AL281" s="183"/>
      <c r="AM281" s="183"/>
      <c r="AN281" s="183"/>
    </row>
    <row r="282" spans="1:40" x14ac:dyDescent="0.25">
      <c r="B282" s="726" t="s">
        <v>393</v>
      </c>
      <c r="C282" s="727"/>
      <c r="D282" s="727"/>
      <c r="E282" s="727"/>
      <c r="F282" s="727"/>
      <c r="G282" s="727"/>
      <c r="H282" s="727"/>
      <c r="K282" s="726" t="s">
        <v>394</v>
      </c>
      <c r="L282" s="727"/>
      <c r="M282" s="727"/>
      <c r="N282" s="727"/>
      <c r="O282" s="727"/>
      <c r="P282" s="727"/>
      <c r="Q282" s="727"/>
      <c r="T282" s="726" t="s">
        <v>210</v>
      </c>
      <c r="U282" s="727"/>
      <c r="V282" s="727"/>
      <c r="W282" s="727"/>
      <c r="X282" s="727"/>
      <c r="Y282" s="727"/>
      <c r="Z282" s="727"/>
      <c r="AA282" s="727"/>
      <c r="AB282" s="727"/>
      <c r="AC282" s="183"/>
      <c r="AD282" s="183"/>
      <c r="AE282" s="183"/>
      <c r="AF282" s="183"/>
      <c r="AG282" s="183"/>
      <c r="AH282" s="183"/>
      <c r="AI282" s="183"/>
      <c r="AJ282" s="183"/>
      <c r="AK282" s="183"/>
      <c r="AL282" s="183"/>
      <c r="AM282" s="183"/>
      <c r="AN282" s="183"/>
    </row>
    <row r="283" spans="1:40" x14ac:dyDescent="0.25">
      <c r="C283" s="362"/>
      <c r="E283" s="25"/>
      <c r="F283" s="25"/>
      <c r="L283" s="25"/>
      <c r="N283" s="25"/>
      <c r="T283" s="950" t="s">
        <v>395</v>
      </c>
      <c r="U283" s="950"/>
      <c r="V283" s="950"/>
      <c r="W283" s="950"/>
      <c r="X283" s="950"/>
      <c r="Y283" s="950"/>
      <c r="Z283" s="950"/>
      <c r="AA283" s="950"/>
      <c r="AB283" s="950"/>
      <c r="AC283" s="183"/>
      <c r="AD283" s="183"/>
      <c r="AE283" s="183"/>
      <c r="AF283" s="183"/>
      <c r="AG283" s="183"/>
      <c r="AH283" s="183"/>
      <c r="AI283" s="183"/>
      <c r="AJ283" s="183"/>
      <c r="AK283" s="183"/>
      <c r="AL283" s="183"/>
      <c r="AM283" s="183"/>
      <c r="AN283" s="183"/>
    </row>
    <row r="284" spans="1:40" x14ac:dyDescent="0.25">
      <c r="C284" s="362" t="s">
        <v>119</v>
      </c>
      <c r="D284" s="364">
        <f>D214+1</f>
        <v>2024</v>
      </c>
      <c r="E284" s="25"/>
      <c r="F284" s="362" t="s">
        <v>278</v>
      </c>
      <c r="G284" s="365">
        <f>Výpočty!L$56</f>
        <v>45292</v>
      </c>
      <c r="H284" s="365" t="str">
        <f>IF(Výpočty!L$57="-"," ",CONCATENATE("- ",DAY(Výpočty!L$57),".",MONTH(Výpočty!L$57),".",D284))</f>
        <v>- 31.12.2024</v>
      </c>
      <c r="L284" s="362" t="s">
        <v>119</v>
      </c>
      <c r="M284" s="364">
        <f>D284</f>
        <v>2024</v>
      </c>
      <c r="O284" s="362" t="s">
        <v>278</v>
      </c>
      <c r="P284" s="475" t="str">
        <f>Výpočty!L$52</f>
        <v>-</v>
      </c>
      <c r="Q284" s="475" t="str">
        <f>IF(P284="-"," ",H284)</f>
        <v xml:space="preserve"> </v>
      </c>
      <c r="T284" s="441"/>
      <c r="U284" s="441"/>
      <c r="V284" s="451" t="s">
        <v>195</v>
      </c>
      <c r="W284" s="364">
        <f>D284</f>
        <v>2024</v>
      </c>
      <c r="Z284" s="362" t="s">
        <v>278</v>
      </c>
      <c r="AA284" s="365">
        <f>G284</f>
        <v>45292</v>
      </c>
      <c r="AB284" s="365" t="str">
        <f>H284</f>
        <v>- 31.12.2024</v>
      </c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</row>
    <row r="285" spans="1:40" x14ac:dyDescent="0.25">
      <c r="B285" s="13" t="s">
        <v>74</v>
      </c>
      <c r="C285" s="13" t="s">
        <v>105</v>
      </c>
      <c r="D285" s="715" t="str">
        <f t="shared" ref="D285:D290" si="119">D215</f>
        <v/>
      </c>
      <c r="E285" s="716"/>
      <c r="F285" s="716"/>
      <c r="G285" s="716"/>
      <c r="H285" s="717"/>
      <c r="K285" s="13" t="s">
        <v>74</v>
      </c>
      <c r="L285" s="13" t="s">
        <v>105</v>
      </c>
      <c r="M285" s="949" t="str">
        <f t="shared" ref="M285:M287" si="120">D285</f>
        <v/>
      </c>
      <c r="N285" s="738"/>
      <c r="O285" s="738"/>
      <c r="P285" s="738"/>
      <c r="Q285" s="738"/>
      <c r="T285" s="13" t="s">
        <v>74</v>
      </c>
      <c r="U285" s="13" t="s">
        <v>105</v>
      </c>
      <c r="V285" s="949" t="str">
        <f t="shared" ref="V285:V287" si="121">D285</f>
        <v/>
      </c>
      <c r="W285" s="738"/>
      <c r="X285" s="738"/>
      <c r="Y285" s="738"/>
      <c r="Z285" s="738"/>
      <c r="AA285" s="738"/>
      <c r="AB285" s="738"/>
      <c r="AC285" s="183"/>
      <c r="AD285" s="183"/>
      <c r="AK285" s="183"/>
      <c r="AL285" s="183"/>
      <c r="AM285" s="183"/>
      <c r="AN285" s="183"/>
    </row>
    <row r="286" spans="1:40" x14ac:dyDescent="0.25">
      <c r="B286" s="13" t="s">
        <v>100</v>
      </c>
      <c r="C286" s="13" t="s">
        <v>106</v>
      </c>
      <c r="D286" s="715" t="str">
        <f t="shared" si="119"/>
        <v/>
      </c>
      <c r="E286" s="716"/>
      <c r="F286" s="716"/>
      <c r="G286" s="716"/>
      <c r="H286" s="717"/>
      <c r="K286" s="13" t="s">
        <v>100</v>
      </c>
      <c r="L286" s="13" t="s">
        <v>106</v>
      </c>
      <c r="M286" s="941" t="str">
        <f t="shared" si="120"/>
        <v/>
      </c>
      <c r="N286" s="942"/>
      <c r="O286" s="942"/>
      <c r="P286" s="942"/>
      <c r="Q286" s="943"/>
      <c r="T286" s="13" t="s">
        <v>100</v>
      </c>
      <c r="U286" s="13" t="s">
        <v>106</v>
      </c>
      <c r="V286" s="941" t="str">
        <f t="shared" si="121"/>
        <v/>
      </c>
      <c r="W286" s="942"/>
      <c r="X286" s="942"/>
      <c r="Y286" s="942"/>
      <c r="Z286" s="942"/>
      <c r="AA286" s="942"/>
      <c r="AB286" s="943"/>
      <c r="AC286" s="183"/>
      <c r="AD286" s="183"/>
      <c r="AK286" s="183"/>
      <c r="AL286" s="183"/>
      <c r="AM286" s="183"/>
      <c r="AN286" s="183"/>
    </row>
    <row r="287" spans="1:40" x14ac:dyDescent="0.25">
      <c r="B287" s="13" t="s">
        <v>101</v>
      </c>
      <c r="C287" s="13" t="s">
        <v>107</v>
      </c>
      <c r="D287" s="715" t="str">
        <f t="shared" si="119"/>
        <v xml:space="preserve">Město Kraslice, IČ </v>
      </c>
      <c r="E287" s="716"/>
      <c r="F287" s="716"/>
      <c r="G287" s="716"/>
      <c r="H287" s="717"/>
      <c r="K287" s="13" t="s">
        <v>101</v>
      </c>
      <c r="L287" s="13" t="s">
        <v>107</v>
      </c>
      <c r="M287" s="941" t="str">
        <f t="shared" si="120"/>
        <v xml:space="preserve">Město Kraslice, IČ </v>
      </c>
      <c r="N287" s="942"/>
      <c r="O287" s="942"/>
      <c r="P287" s="942"/>
      <c r="Q287" s="943"/>
      <c r="T287" s="13" t="s">
        <v>101</v>
      </c>
      <c r="U287" s="13" t="s">
        <v>107</v>
      </c>
      <c r="V287" s="941" t="str">
        <f t="shared" si="121"/>
        <v xml:space="preserve">Město Kraslice, IČ </v>
      </c>
      <c r="W287" s="942"/>
      <c r="X287" s="942"/>
      <c r="Y287" s="942"/>
      <c r="Z287" s="942"/>
      <c r="AA287" s="942"/>
      <c r="AB287" s="943"/>
      <c r="AC287" s="183"/>
      <c r="AD287" s="183"/>
      <c r="AK287" s="183"/>
      <c r="AL287" s="183"/>
      <c r="AM287" s="183"/>
      <c r="AN287" s="183"/>
    </row>
    <row r="288" spans="1:40" x14ac:dyDescent="0.25">
      <c r="B288" s="13" t="s">
        <v>102</v>
      </c>
      <c r="C288" s="13" t="s">
        <v>109</v>
      </c>
      <c r="D288" s="923" t="str">
        <f t="shared" si="119"/>
        <v>[vyplnit]</v>
      </c>
      <c r="E288" s="924"/>
      <c r="F288" s="924"/>
      <c r="G288" s="924"/>
      <c r="H288" s="925"/>
      <c r="K288" s="13" t="s">
        <v>102</v>
      </c>
      <c r="L288" s="13" t="s">
        <v>109</v>
      </c>
      <c r="M288" s="926" t="str">
        <f>IF($D288="[vyplnit]"," ",$D288)</f>
        <v xml:space="preserve"> </v>
      </c>
      <c r="N288" s="927"/>
      <c r="O288" s="927"/>
      <c r="P288" s="927"/>
      <c r="Q288" s="928"/>
      <c r="T288" s="13" t="s">
        <v>102</v>
      </c>
      <c r="U288" s="13" t="s">
        <v>109</v>
      </c>
      <c r="V288" s="933" t="str">
        <f>IF($D288="[vyplnit]"," ",$D288)</f>
        <v xml:space="preserve"> </v>
      </c>
      <c r="W288" s="933"/>
      <c r="X288" s="933"/>
      <c r="Y288" s="933"/>
      <c r="Z288" s="933"/>
      <c r="AA288" s="933"/>
      <c r="AB288" s="933"/>
      <c r="AC288" s="183"/>
      <c r="AD288" s="183"/>
      <c r="AK288" s="183"/>
      <c r="AL288" s="183"/>
      <c r="AM288" s="183"/>
      <c r="AN288" s="183"/>
    </row>
    <row r="289" spans="2:40" x14ac:dyDescent="0.25">
      <c r="B289" s="13" t="s">
        <v>103</v>
      </c>
      <c r="C289" s="13" t="s">
        <v>108</v>
      </c>
      <c r="D289" s="923" t="str">
        <f t="shared" si="119"/>
        <v>[vyplnit]</v>
      </c>
      <c r="E289" s="924"/>
      <c r="F289" s="924"/>
      <c r="G289" s="924"/>
      <c r="H289" s="925"/>
      <c r="K289" s="13" t="s">
        <v>103</v>
      </c>
      <c r="L289" s="13" t="s">
        <v>108</v>
      </c>
      <c r="M289" s="926" t="str">
        <f t="shared" ref="M289:M290" si="122">IF($D289="[vyplnit]"," ",$D289)</f>
        <v xml:space="preserve"> </v>
      </c>
      <c r="N289" s="927"/>
      <c r="O289" s="927"/>
      <c r="P289" s="927"/>
      <c r="Q289" s="928"/>
      <c r="T289" s="13" t="s">
        <v>103</v>
      </c>
      <c r="U289" s="13" t="s">
        <v>108</v>
      </c>
      <c r="V289" s="933" t="str">
        <f t="shared" ref="V289:V290" si="123">IF($D289="[vyplnit]"," ",$D289)</f>
        <v xml:space="preserve"> </v>
      </c>
      <c r="W289" s="933"/>
      <c r="X289" s="933"/>
      <c r="Y289" s="933"/>
      <c r="Z289" s="933"/>
      <c r="AA289" s="933"/>
      <c r="AB289" s="933"/>
      <c r="AC289" s="183"/>
      <c r="AD289" s="183"/>
      <c r="AK289" s="183"/>
      <c r="AL289" s="183"/>
      <c r="AM289" s="183"/>
      <c r="AN289" s="183"/>
    </row>
    <row r="290" spans="2:40" x14ac:dyDescent="0.25">
      <c r="B290" s="13" t="s">
        <v>104</v>
      </c>
      <c r="C290" s="13" t="s">
        <v>110</v>
      </c>
      <c r="D290" s="923" t="str">
        <f t="shared" si="119"/>
        <v>[vyplnit]</v>
      </c>
      <c r="E290" s="924"/>
      <c r="F290" s="924"/>
      <c r="G290" s="924"/>
      <c r="H290" s="925"/>
      <c r="K290" s="13" t="s">
        <v>104</v>
      </c>
      <c r="L290" s="13" t="s">
        <v>110</v>
      </c>
      <c r="M290" s="926" t="str">
        <f t="shared" si="122"/>
        <v xml:space="preserve"> </v>
      </c>
      <c r="N290" s="927"/>
      <c r="O290" s="927"/>
      <c r="P290" s="927"/>
      <c r="Q290" s="928"/>
      <c r="T290" s="13" t="s">
        <v>104</v>
      </c>
      <c r="U290" s="13" t="s">
        <v>110</v>
      </c>
      <c r="V290" s="933" t="str">
        <f t="shared" si="123"/>
        <v xml:space="preserve"> </v>
      </c>
      <c r="W290" s="933"/>
      <c r="X290" s="933"/>
      <c r="Y290" s="933"/>
      <c r="Z290" s="933"/>
      <c r="AA290" s="933"/>
      <c r="AB290" s="933"/>
      <c r="AC290" s="183"/>
      <c r="AD290" s="183"/>
      <c r="AK290" s="183"/>
      <c r="AL290" s="183"/>
      <c r="AM290" s="183"/>
      <c r="AN290" s="183"/>
    </row>
    <row r="291" spans="2:40" x14ac:dyDescent="0.25">
      <c r="AC291" s="183"/>
      <c r="AK291" s="183"/>
      <c r="AL291" s="183"/>
      <c r="AM291" s="183"/>
      <c r="AN291" s="183"/>
    </row>
    <row r="292" spans="2:40" x14ac:dyDescent="0.25">
      <c r="B292" s="932" t="s">
        <v>5</v>
      </c>
      <c r="C292" s="721" t="s">
        <v>0</v>
      </c>
      <c r="D292" s="722"/>
      <c r="E292" s="722"/>
      <c r="F292" s="722"/>
      <c r="G292" s="722"/>
      <c r="H292" s="725"/>
      <c r="K292" s="932" t="s">
        <v>5</v>
      </c>
      <c r="L292" s="721" t="s">
        <v>0</v>
      </c>
      <c r="M292" s="722"/>
      <c r="N292" s="722"/>
      <c r="O292" s="722"/>
      <c r="P292" s="722"/>
      <c r="Q292" s="725"/>
      <c r="T292" s="932" t="s">
        <v>5</v>
      </c>
      <c r="U292" s="721" t="s">
        <v>0</v>
      </c>
      <c r="V292" s="722"/>
      <c r="W292" s="722"/>
      <c r="X292" s="722"/>
      <c r="Y292" s="722"/>
      <c r="Z292" s="722"/>
      <c r="AA292" s="722"/>
      <c r="AB292" s="725"/>
      <c r="AC292" s="183"/>
      <c r="AK292" s="183"/>
      <c r="AL292" s="183"/>
      <c r="AM292" s="183"/>
      <c r="AN292" s="183"/>
    </row>
    <row r="293" spans="2:40" x14ac:dyDescent="0.25">
      <c r="B293" s="930"/>
      <c r="C293" s="932" t="s">
        <v>1</v>
      </c>
      <c r="D293" s="929" t="s">
        <v>173</v>
      </c>
      <c r="E293" s="721" t="s">
        <v>3</v>
      </c>
      <c r="F293" s="722"/>
      <c r="G293" s="721" t="s">
        <v>4</v>
      </c>
      <c r="H293" s="725"/>
      <c r="K293" s="930"/>
      <c r="L293" s="932" t="s">
        <v>1</v>
      </c>
      <c r="M293" s="929" t="s">
        <v>173</v>
      </c>
      <c r="N293" s="721" t="s">
        <v>3</v>
      </c>
      <c r="O293" s="722"/>
      <c r="P293" s="721" t="s">
        <v>4</v>
      </c>
      <c r="Q293" s="725"/>
      <c r="T293" s="930"/>
      <c r="U293" s="932" t="s">
        <v>1</v>
      </c>
      <c r="V293" s="929" t="s">
        <v>173</v>
      </c>
      <c r="W293" s="721" t="s">
        <v>3</v>
      </c>
      <c r="X293" s="722"/>
      <c r="Y293" s="722"/>
      <c r="Z293" s="721" t="s">
        <v>4</v>
      </c>
      <c r="AA293" s="722"/>
      <c r="AB293" s="725"/>
      <c r="AC293" s="183"/>
      <c r="AK293" s="183"/>
      <c r="AL293" s="183"/>
      <c r="AM293" s="183"/>
      <c r="AN293" s="183"/>
    </row>
    <row r="294" spans="2:40" x14ac:dyDescent="0.25">
      <c r="B294" s="930"/>
      <c r="C294" s="930"/>
      <c r="D294" s="930"/>
      <c r="E294" s="30">
        <f>D284-1</f>
        <v>2023</v>
      </c>
      <c r="F294" s="30">
        <f>D284</f>
        <v>2024</v>
      </c>
      <c r="G294" s="30">
        <f>D284-1</f>
        <v>2023</v>
      </c>
      <c r="H294" s="30">
        <f>D284</f>
        <v>2024</v>
      </c>
      <c r="K294" s="930"/>
      <c r="L294" s="930"/>
      <c r="M294" s="930"/>
      <c r="N294" s="30">
        <f>M284-1</f>
        <v>2023</v>
      </c>
      <c r="O294" s="30">
        <f>M284</f>
        <v>2024</v>
      </c>
      <c r="P294" s="30">
        <f>M284-1</f>
        <v>2023</v>
      </c>
      <c r="Q294" s="30">
        <f>M284</f>
        <v>2024</v>
      </c>
      <c r="T294" s="930"/>
      <c r="U294" s="930"/>
      <c r="V294" s="930"/>
      <c r="W294" s="30">
        <f>W284</f>
        <v>2024</v>
      </c>
      <c r="X294" s="30">
        <f>W284</f>
        <v>2024</v>
      </c>
      <c r="Y294" s="30">
        <f>W284</f>
        <v>2024</v>
      </c>
      <c r="Z294" s="30">
        <f>W284</f>
        <v>2024</v>
      </c>
      <c r="AA294" s="30">
        <f>W284</f>
        <v>2024</v>
      </c>
      <c r="AB294" s="30">
        <f>W284</f>
        <v>2024</v>
      </c>
      <c r="AC294" s="183"/>
      <c r="AK294" s="183"/>
      <c r="AL294" s="183"/>
      <c r="AM294" s="183"/>
      <c r="AN294" s="183"/>
    </row>
    <row r="295" spans="2:40" x14ac:dyDescent="0.25">
      <c r="B295" s="931"/>
      <c r="C295" s="931"/>
      <c r="D295" s="931"/>
      <c r="E295" s="7" t="s">
        <v>199</v>
      </c>
      <c r="F295" s="7" t="s">
        <v>114</v>
      </c>
      <c r="G295" s="7" t="s">
        <v>199</v>
      </c>
      <c r="H295" s="19" t="s">
        <v>114</v>
      </c>
      <c r="K295" s="931"/>
      <c r="L295" s="931"/>
      <c r="M295" s="931"/>
      <c r="N295" s="7" t="s">
        <v>199</v>
      </c>
      <c r="O295" s="7" t="s">
        <v>114</v>
      </c>
      <c r="P295" s="7" t="s">
        <v>199</v>
      </c>
      <c r="Q295" s="19" t="s">
        <v>114</v>
      </c>
      <c r="T295" s="931"/>
      <c r="U295" s="931"/>
      <c r="V295" s="931"/>
      <c r="W295" s="7" t="s">
        <v>198</v>
      </c>
      <c r="X295" s="7" t="s">
        <v>114</v>
      </c>
      <c r="Y295" s="7" t="s">
        <v>197</v>
      </c>
      <c r="Z295" s="7" t="s">
        <v>198</v>
      </c>
      <c r="AA295" s="7" t="s">
        <v>114</v>
      </c>
      <c r="AB295" s="19" t="s">
        <v>197</v>
      </c>
      <c r="AC295" s="183"/>
      <c r="AK295" s="183"/>
      <c r="AL295" s="183"/>
      <c r="AM295" s="183"/>
      <c r="AN295" s="183"/>
    </row>
    <row r="296" spans="2:40" x14ac:dyDescent="0.25">
      <c r="B296" s="11">
        <v>1</v>
      </c>
      <c r="C296" s="11">
        <v>2</v>
      </c>
      <c r="D296" s="11" t="s">
        <v>111</v>
      </c>
      <c r="E296" s="11">
        <v>3</v>
      </c>
      <c r="F296" s="11">
        <v>4</v>
      </c>
      <c r="G296" s="11">
        <v>6</v>
      </c>
      <c r="H296" s="22">
        <v>7</v>
      </c>
      <c r="K296" s="11">
        <v>1</v>
      </c>
      <c r="L296" s="11">
        <v>2</v>
      </c>
      <c r="M296" s="11" t="s">
        <v>111</v>
      </c>
      <c r="N296" s="11">
        <v>3</v>
      </c>
      <c r="O296" s="11">
        <v>4</v>
      </c>
      <c r="P296" s="11">
        <v>6</v>
      </c>
      <c r="Q296" s="22">
        <v>7</v>
      </c>
      <c r="T296" s="11">
        <v>1</v>
      </c>
      <c r="U296" s="11">
        <v>2</v>
      </c>
      <c r="V296" s="11" t="s">
        <v>111</v>
      </c>
      <c r="W296" s="11">
        <v>3</v>
      </c>
      <c r="X296" s="11">
        <v>4</v>
      </c>
      <c r="Y296" s="11">
        <v>5</v>
      </c>
      <c r="Z296" s="11">
        <v>6</v>
      </c>
      <c r="AA296" s="11">
        <v>7</v>
      </c>
      <c r="AB296" s="22">
        <v>8</v>
      </c>
      <c r="AC296" s="183"/>
      <c r="AK296" s="183"/>
      <c r="AL296" s="183"/>
      <c r="AM296" s="183"/>
      <c r="AN296" s="183"/>
    </row>
    <row r="297" spans="2:40" x14ac:dyDescent="0.25">
      <c r="B297" s="9" t="s">
        <v>8</v>
      </c>
      <c r="C297" s="10" t="s">
        <v>9</v>
      </c>
      <c r="D297" s="11" t="s">
        <v>10</v>
      </c>
      <c r="E297" s="46">
        <f>SUM(E298:E301)</f>
        <v>0</v>
      </c>
      <c r="F297" s="46">
        <f>SUM(F298:F301)</f>
        <v>0</v>
      </c>
      <c r="G297" s="46">
        <f>SUM(G298:G301)</f>
        <v>0</v>
      </c>
      <c r="H297" s="98">
        <f>SUM(H298:H301)</f>
        <v>0.28999999999999998</v>
      </c>
      <c r="K297" s="9" t="s">
        <v>8</v>
      </c>
      <c r="L297" s="10" t="s">
        <v>9</v>
      </c>
      <c r="M297" s="11" t="s">
        <v>10</v>
      </c>
      <c r="N297" s="46">
        <f>SUM(N298:N301)</f>
        <v>0</v>
      </c>
      <c r="O297" s="46">
        <f>SUM(O298:O301)</f>
        <v>0</v>
      </c>
      <c r="P297" s="46">
        <f>SUM(P298:P301)</f>
        <v>0</v>
      </c>
      <c r="Q297" s="98">
        <f>SUM(Q298:Q301)</f>
        <v>0</v>
      </c>
      <c r="T297" s="9" t="s">
        <v>8</v>
      </c>
      <c r="U297" s="10" t="s">
        <v>9</v>
      </c>
      <c r="V297" s="11" t="s">
        <v>10</v>
      </c>
      <c r="W297" s="98">
        <f t="shared" ref="W297:AB297" si="124">SUM(W298:W301)</f>
        <v>0</v>
      </c>
      <c r="X297" s="98">
        <f t="shared" si="124"/>
        <v>0</v>
      </c>
      <c r="Y297" s="98">
        <f t="shared" si="124"/>
        <v>0</v>
      </c>
      <c r="Z297" s="98">
        <f t="shared" si="124"/>
        <v>0</v>
      </c>
      <c r="AA297" s="98">
        <f t="shared" si="124"/>
        <v>0.28999999999999998</v>
      </c>
      <c r="AB297" s="98">
        <f t="shared" si="124"/>
        <v>-0.28999999999999998</v>
      </c>
      <c r="AC297" s="183"/>
      <c r="AK297" s="183"/>
      <c r="AL297" s="183"/>
      <c r="AM297" s="183"/>
      <c r="AN297" s="183"/>
    </row>
    <row r="298" spans="2:40" x14ac:dyDescent="0.25">
      <c r="B298" s="12" t="s">
        <v>11</v>
      </c>
      <c r="C298" s="13" t="s">
        <v>12</v>
      </c>
      <c r="D298" s="3" t="s">
        <v>10</v>
      </c>
      <c r="E298" s="49">
        <v>0</v>
      </c>
      <c r="F298" s="49">
        <f>IF(YEAR(Postup!$H$25)&gt;$D$284,Provozování!AD23,IF(AND(DAY(Postup!$H$25)=31,MONTH(Postup!$H$25)=12,YEAR(Postup!$H$25)=$D$284),Provozování!AD23,IF(YEAR(Postup!$H$25)=$D$284,Provozování!$BL23,0)))</f>
        <v>0</v>
      </c>
      <c r="G298" s="49">
        <v>0</v>
      </c>
      <c r="H298" s="442">
        <v>0</v>
      </c>
      <c r="K298" s="12" t="s">
        <v>11</v>
      </c>
      <c r="L298" s="13" t="s">
        <v>12</v>
      </c>
      <c r="M298" s="3" t="s">
        <v>10</v>
      </c>
      <c r="N298" s="49">
        <v>0</v>
      </c>
      <c r="O298" s="49">
        <f>IF(Provozování!$AF$16="Neaktivní",0,Provozování!AF23)</f>
        <v>0</v>
      </c>
      <c r="P298" s="49">
        <v>0</v>
      </c>
      <c r="Q298" s="442">
        <v>0</v>
      </c>
      <c r="T298" s="12" t="s">
        <v>11</v>
      </c>
      <c r="U298" s="13" t="s">
        <v>12</v>
      </c>
      <c r="V298" s="3" t="s">
        <v>10</v>
      </c>
      <c r="W298" s="595">
        <v>0</v>
      </c>
      <c r="X298" s="49">
        <f>IF(Provozování!$AF$16="Neaktivní",F298,F298*Výpočty!$L$58+O298)</f>
        <v>0</v>
      </c>
      <c r="Y298" s="49">
        <f>W298-X298</f>
        <v>0</v>
      </c>
      <c r="Z298" s="445">
        <v>0</v>
      </c>
      <c r="AA298" s="445">
        <v>0</v>
      </c>
      <c r="AB298" s="442">
        <v>0</v>
      </c>
      <c r="AC298" s="183"/>
      <c r="AK298" s="183"/>
      <c r="AL298" s="183"/>
      <c r="AM298" s="183"/>
      <c r="AN298" s="183"/>
    </row>
    <row r="299" spans="2:40" x14ac:dyDescent="0.25">
      <c r="B299" s="12" t="s">
        <v>13</v>
      </c>
      <c r="C299" s="12" t="s">
        <v>14</v>
      </c>
      <c r="D299" s="3" t="s">
        <v>10</v>
      </c>
      <c r="E299" s="58">
        <v>0</v>
      </c>
      <c r="F299" s="49">
        <f>IF(YEAR(Postup!$H$25)&gt;$D$284,Provozování!AD24,IF(AND(DAY(Postup!$H$25)=31,MONTH(Postup!$H$25)=12,YEAR(Postup!$H$25)=$D$284),Provozování!AD24,IF(YEAR(Postup!$H$25)=$D$284,Provozování!$BL24,0)))</f>
        <v>0</v>
      </c>
      <c r="G299" s="58">
        <v>0</v>
      </c>
      <c r="H299" s="32">
        <f>IF(YEAR(Postup!$H$25)&gt;$D$284,Provozování!AE24,IF(AND(DAY(Postup!$H$25)=31,MONTH(Postup!$H$25)=12,YEAR(Postup!$H$25)=$D$284),Provozování!AE24,IF(YEAR(Postup!$H$25)=$D$284,Provozování!$BM24,0)))</f>
        <v>0.28999999999999998</v>
      </c>
      <c r="K299" s="12" t="s">
        <v>13</v>
      </c>
      <c r="L299" s="12" t="s">
        <v>14</v>
      </c>
      <c r="M299" s="3" t="s">
        <v>10</v>
      </c>
      <c r="N299" s="58">
        <v>0</v>
      </c>
      <c r="O299" s="49">
        <f>IF(Provozování!$AF$16="Neaktivní",0,Provozování!AF24)</f>
        <v>0</v>
      </c>
      <c r="P299" s="58">
        <v>0</v>
      </c>
      <c r="Q299" s="59">
        <f>IF(Provozování!$AF$16="Neaktivní",0,Provozování!AG24)</f>
        <v>0</v>
      </c>
      <c r="T299" s="12" t="s">
        <v>13</v>
      </c>
      <c r="U299" s="12" t="s">
        <v>14</v>
      </c>
      <c r="V299" s="3" t="s">
        <v>10</v>
      </c>
      <c r="W299" s="596">
        <v>0</v>
      </c>
      <c r="X299" s="49">
        <f>IF(Provozování!$AF$16="Neaktivní",F299,F299*Výpočty!$L$58+O299)</f>
        <v>0</v>
      </c>
      <c r="Y299" s="49">
        <f t="shared" ref="Y299:Y301" si="125">W299-X299</f>
        <v>0</v>
      </c>
      <c r="Z299" s="596">
        <v>0</v>
      </c>
      <c r="AA299" s="49">
        <f>IF(Provozování!$AF$16="Neaktivní",H299,H299*Výpočty!$L$58+Q299)</f>
        <v>0.28999999999999998</v>
      </c>
      <c r="AB299" s="32">
        <f t="shared" ref="AB299:AB301" si="126">Z299-AA299</f>
        <v>-0.28999999999999998</v>
      </c>
      <c r="AC299" s="183"/>
      <c r="AK299" s="183"/>
      <c r="AL299" s="183"/>
      <c r="AM299" s="183"/>
      <c r="AN299" s="183"/>
    </row>
    <row r="300" spans="2:40" x14ac:dyDescent="0.25">
      <c r="B300" s="12" t="s">
        <v>15</v>
      </c>
      <c r="C300" s="13" t="s">
        <v>16</v>
      </c>
      <c r="D300" s="3" t="s">
        <v>10</v>
      </c>
      <c r="E300" s="32">
        <v>0</v>
      </c>
      <c r="F300" s="589">
        <f>IF(YEAR(Postup!$H$25)&gt;$D$284,Provozování!AD25,IF(AND(DAY(Postup!$H$25)=31,MONTH(Postup!$H$25)=12,YEAR(Postup!$H$25)=$D$284),Provozování!AD25,IF(YEAR(Postup!$H$25)=$D$284,Provozování!$BL25,0)))</f>
        <v>0</v>
      </c>
      <c r="G300" s="32">
        <v>0</v>
      </c>
      <c r="H300" s="590">
        <f>IF(YEAR(Postup!$H$25)&gt;$D$284,Provozování!AE25,IF(AND(DAY(Postup!$H$25)=31,MONTH(Postup!$H$25)=12,YEAR(Postup!$H$25)=$D$284),Provozování!AE25,IF(YEAR(Postup!$H$25)=$D$284,Provozování!$BM25,0)))</f>
        <v>0</v>
      </c>
      <c r="K300" s="12" t="s">
        <v>15</v>
      </c>
      <c r="L300" s="13" t="s">
        <v>16</v>
      </c>
      <c r="M300" s="3" t="s">
        <v>10</v>
      </c>
      <c r="N300" s="32">
        <v>0</v>
      </c>
      <c r="O300" s="443">
        <f>IF(Provozování!$AF$16="Neaktivní",0,Provozování!AF25)</f>
        <v>0</v>
      </c>
      <c r="P300" s="32">
        <v>0</v>
      </c>
      <c r="Q300" s="443">
        <f>IF(Provozování!$AF$16="Neaktivní",0,Provozování!AG25)</f>
        <v>0</v>
      </c>
      <c r="T300" s="12" t="s">
        <v>15</v>
      </c>
      <c r="U300" s="13" t="s">
        <v>16</v>
      </c>
      <c r="V300" s="3" t="s">
        <v>10</v>
      </c>
      <c r="W300" s="597">
        <v>0</v>
      </c>
      <c r="X300" s="49">
        <f>IF(Provozování!$AF$16="Neaktivní",F300,F300*Výpočty!$L$58+O300)</f>
        <v>0</v>
      </c>
      <c r="Y300" s="49">
        <f t="shared" si="125"/>
        <v>0</v>
      </c>
      <c r="Z300" s="597">
        <v>0</v>
      </c>
      <c r="AA300" s="49">
        <f>IF(Provozování!$AF$16="Neaktivní",H300,H300*Výpočty!$L$58+Q300)</f>
        <v>0</v>
      </c>
      <c r="AB300" s="32">
        <f t="shared" si="126"/>
        <v>0</v>
      </c>
      <c r="AC300" s="183"/>
      <c r="AK300" s="183"/>
      <c r="AL300" s="183"/>
      <c r="AM300" s="183"/>
      <c r="AN300" s="183"/>
    </row>
    <row r="301" spans="2:40" x14ac:dyDescent="0.25">
      <c r="B301" s="12" t="s">
        <v>17</v>
      </c>
      <c r="C301" s="13" t="s">
        <v>18</v>
      </c>
      <c r="D301" s="3" t="s">
        <v>10</v>
      </c>
      <c r="E301" s="99">
        <v>0</v>
      </c>
      <c r="F301" s="589">
        <f>IF(YEAR(Postup!$H$25)&gt;$D$284,Provozování!AD26,IF(AND(DAY(Postup!$H$25)=31,MONTH(Postup!$H$25)=12,YEAR(Postup!$H$25)=$D$284),Provozování!AD26,IF(YEAR(Postup!$H$25)=$D$284,Provozování!$BL26,0)))</f>
        <v>0</v>
      </c>
      <c r="G301" s="99">
        <v>0</v>
      </c>
      <c r="H301" s="590">
        <f>IF(YEAR(Postup!$H$25)&gt;$D$284,Provozování!AE26,IF(AND(DAY(Postup!$H$25)=31,MONTH(Postup!$H$25)=12,YEAR(Postup!$H$25)=$D$284),Provozování!AE26,IF(YEAR(Postup!$H$25)=$D$284,Provozování!$BM26,0)))</f>
        <v>0</v>
      </c>
      <c r="K301" s="12" t="s">
        <v>17</v>
      </c>
      <c r="L301" s="13" t="s">
        <v>18</v>
      </c>
      <c r="M301" s="3" t="s">
        <v>10</v>
      </c>
      <c r="N301" s="99">
        <v>0</v>
      </c>
      <c r="O301" s="443">
        <f>IF(Provozování!$AF$16="Neaktivní",0,Provozování!AF26)</f>
        <v>0</v>
      </c>
      <c r="P301" s="99">
        <v>0</v>
      </c>
      <c r="Q301" s="443">
        <f>IF(Provozování!$AF$16="Neaktivní",0,Provozování!AG26)</f>
        <v>0</v>
      </c>
      <c r="T301" s="12" t="s">
        <v>17</v>
      </c>
      <c r="U301" s="13" t="s">
        <v>18</v>
      </c>
      <c r="V301" s="3" t="s">
        <v>10</v>
      </c>
      <c r="W301" s="598">
        <v>0</v>
      </c>
      <c r="X301" s="49">
        <f>IF(Provozování!$AF$16="Neaktivní",F301,F301*Výpočty!$L$58+O301)</f>
        <v>0</v>
      </c>
      <c r="Y301" s="49">
        <f t="shared" si="125"/>
        <v>0</v>
      </c>
      <c r="Z301" s="598">
        <v>0</v>
      </c>
      <c r="AA301" s="49">
        <f>IF(Provozování!$AF$16="Neaktivní",H301,H301*Výpočty!$L$58+Q301)</f>
        <v>0</v>
      </c>
      <c r="AB301" s="32">
        <f t="shared" si="126"/>
        <v>0</v>
      </c>
      <c r="AC301" s="183"/>
      <c r="AK301" s="183"/>
      <c r="AL301" s="183"/>
      <c r="AM301" s="183"/>
      <c r="AN301" s="183"/>
    </row>
    <row r="302" spans="2:40" x14ac:dyDescent="0.25">
      <c r="B302" s="9" t="s">
        <v>19</v>
      </c>
      <c r="C302" s="10" t="s">
        <v>20</v>
      </c>
      <c r="D302" s="11" t="s">
        <v>10</v>
      </c>
      <c r="E302" s="100">
        <f>SUM(E303:E304)</f>
        <v>0</v>
      </c>
      <c r="F302" s="100">
        <f>SUM(F303:F304)</f>
        <v>0</v>
      </c>
      <c r="G302" s="100">
        <f>SUM(G303:G304)</f>
        <v>0</v>
      </c>
      <c r="H302" s="98">
        <f>SUM(H303:H304)</f>
        <v>0</v>
      </c>
      <c r="K302" s="9" t="s">
        <v>19</v>
      </c>
      <c r="L302" s="10" t="s">
        <v>20</v>
      </c>
      <c r="M302" s="11" t="s">
        <v>10</v>
      </c>
      <c r="N302" s="100">
        <f>SUM(N303:N304)</f>
        <v>0</v>
      </c>
      <c r="O302" s="100">
        <f>SUM(O303:O304)</f>
        <v>0</v>
      </c>
      <c r="P302" s="100">
        <f>SUM(P303:P304)</f>
        <v>0</v>
      </c>
      <c r="Q302" s="98">
        <f>SUM(Q303:Q304)</f>
        <v>0</v>
      </c>
      <c r="T302" s="9" t="s">
        <v>19</v>
      </c>
      <c r="U302" s="10" t="s">
        <v>20</v>
      </c>
      <c r="V302" s="11" t="s">
        <v>10</v>
      </c>
      <c r="W302" s="98">
        <f t="shared" ref="W302:AB302" si="127">SUM(W303:W304)</f>
        <v>0</v>
      </c>
      <c r="X302" s="98">
        <f t="shared" si="127"/>
        <v>0</v>
      </c>
      <c r="Y302" s="98">
        <f t="shared" si="127"/>
        <v>0</v>
      </c>
      <c r="Z302" s="98">
        <f t="shared" si="127"/>
        <v>0</v>
      </c>
      <c r="AA302" s="98">
        <f t="shared" si="127"/>
        <v>0</v>
      </c>
      <c r="AB302" s="98">
        <f t="shared" si="127"/>
        <v>0</v>
      </c>
      <c r="AC302" s="183"/>
      <c r="AK302" s="183"/>
      <c r="AL302" s="183"/>
      <c r="AM302" s="183"/>
      <c r="AN302" s="183"/>
    </row>
    <row r="303" spans="2:40" x14ac:dyDescent="0.25">
      <c r="B303" s="12" t="s">
        <v>21</v>
      </c>
      <c r="C303" s="12" t="s">
        <v>22</v>
      </c>
      <c r="D303" s="3" t="s">
        <v>10</v>
      </c>
      <c r="E303" s="32">
        <v>0</v>
      </c>
      <c r="F303" s="589">
        <f>IF(YEAR(Postup!$H$25)&gt;$D$284,Provozování!AD28,IF(AND(DAY(Postup!$H$25)=31,MONTH(Postup!$H$25)=12,YEAR(Postup!$H$25)=$D$284),Provozování!AD28,IF(YEAR(Postup!$H$25)=$D$284,Provozování!$BL28,0)))</f>
        <v>0</v>
      </c>
      <c r="G303" s="32">
        <v>0</v>
      </c>
      <c r="H303" s="590">
        <f>IF(YEAR(Postup!$H$25)&gt;$D$284,Provozování!AE28,IF(AND(DAY(Postup!$H$25)=31,MONTH(Postup!$H$25)=12,YEAR(Postup!$H$25)=$D$284),Provozování!AE28,IF(YEAR(Postup!$H$25)=$D$284,Provozování!$BM28,0)))</f>
        <v>0</v>
      </c>
      <c r="K303" s="12" t="s">
        <v>21</v>
      </c>
      <c r="L303" s="12" t="s">
        <v>22</v>
      </c>
      <c r="M303" s="3" t="s">
        <v>10</v>
      </c>
      <c r="N303" s="32">
        <v>0</v>
      </c>
      <c r="O303" s="443">
        <f>IF(Provozování!$AF$16="Neaktivní",0,Provozování!AF28)</f>
        <v>0</v>
      </c>
      <c r="P303" s="32">
        <v>0</v>
      </c>
      <c r="Q303" s="443">
        <f>IF(Provozování!$AF$16="Neaktivní",0,Provozování!AG28)</f>
        <v>0</v>
      </c>
      <c r="T303" s="12" t="s">
        <v>21</v>
      </c>
      <c r="U303" s="12" t="s">
        <v>22</v>
      </c>
      <c r="V303" s="3" t="s">
        <v>10</v>
      </c>
      <c r="W303" s="595">
        <v>0</v>
      </c>
      <c r="X303" s="49">
        <f>IF(Provozování!$AF$16="Neaktivní",F303,F303*Výpočty!$L$58+O303)</f>
        <v>0</v>
      </c>
      <c r="Y303" s="49">
        <f t="shared" ref="Y303:Y304" si="128">W303-X303</f>
        <v>0</v>
      </c>
      <c r="Z303" s="597">
        <v>0</v>
      </c>
      <c r="AA303" s="49">
        <f>IF(Provozování!$AF$16="Neaktivní",H303,H303*Výpočty!$L$58+Q303)</f>
        <v>0</v>
      </c>
      <c r="AB303" s="32">
        <f t="shared" ref="AB303:AB304" si="129">Z303-AA303</f>
        <v>0</v>
      </c>
      <c r="AC303" s="183"/>
      <c r="AK303" s="183"/>
      <c r="AL303" s="183"/>
      <c r="AM303" s="183"/>
      <c r="AN303" s="183"/>
    </row>
    <row r="304" spans="2:40" x14ac:dyDescent="0.25">
      <c r="B304" s="12" t="s">
        <v>23</v>
      </c>
      <c r="C304" s="12" t="s">
        <v>24</v>
      </c>
      <c r="D304" s="3" t="s">
        <v>10</v>
      </c>
      <c r="E304" s="99">
        <v>0</v>
      </c>
      <c r="F304" s="589">
        <f>IF(YEAR(Postup!$H$25)&gt;$D$284,Provozování!AD29,IF(AND(DAY(Postup!$H$25)=31,MONTH(Postup!$H$25)=12,YEAR(Postup!$H$25)=$D$284),Provozování!AD29,IF(YEAR(Postup!$H$25)=$D$284,Provozování!$BL29,0)))</f>
        <v>0</v>
      </c>
      <c r="G304" s="99">
        <v>0</v>
      </c>
      <c r="H304" s="590">
        <f>IF(YEAR(Postup!$H$25)&gt;$D$284,Provozování!AE29,IF(AND(DAY(Postup!$H$25)=31,MONTH(Postup!$H$25)=12,YEAR(Postup!$H$25)=$D$284),Provozování!AE29,IF(YEAR(Postup!$H$25)=$D$284,Provozování!$BM29,0)))</f>
        <v>0</v>
      </c>
      <c r="K304" s="12" t="s">
        <v>23</v>
      </c>
      <c r="L304" s="12" t="s">
        <v>24</v>
      </c>
      <c r="M304" s="3" t="s">
        <v>10</v>
      </c>
      <c r="N304" s="99">
        <v>0</v>
      </c>
      <c r="O304" s="443">
        <f>IF(Provozování!$AF$16="Neaktivní",0,Provozování!AF29)</f>
        <v>0</v>
      </c>
      <c r="P304" s="99">
        <v>0</v>
      </c>
      <c r="Q304" s="443">
        <f>IF(Provozování!$AF$16="Neaktivní",0,Provozování!AG29)</f>
        <v>0</v>
      </c>
      <c r="T304" s="12" t="s">
        <v>23</v>
      </c>
      <c r="U304" s="12" t="s">
        <v>24</v>
      </c>
      <c r="V304" s="3" t="s">
        <v>10</v>
      </c>
      <c r="W304" s="596">
        <v>0</v>
      </c>
      <c r="X304" s="49">
        <f>IF(Provozování!$AF$16="Neaktivní",F304,F304*Výpočty!$L$58+O304)</f>
        <v>0</v>
      </c>
      <c r="Y304" s="49">
        <f t="shared" si="128"/>
        <v>0</v>
      </c>
      <c r="Z304" s="598">
        <v>0</v>
      </c>
      <c r="AA304" s="49">
        <f>IF(Provozování!$AF$16="Neaktivní",H304,H304*Výpočty!$L$58+Q304)</f>
        <v>0</v>
      </c>
      <c r="AB304" s="32">
        <f t="shared" si="129"/>
        <v>0</v>
      </c>
      <c r="AC304" s="183"/>
      <c r="AK304" s="183"/>
      <c r="AL304" s="183"/>
      <c r="AM304" s="183"/>
      <c r="AN304" s="183"/>
    </row>
    <row r="305" spans="2:40" x14ac:dyDescent="0.25">
      <c r="B305" s="9" t="s">
        <v>25</v>
      </c>
      <c r="C305" s="10" t="s">
        <v>26</v>
      </c>
      <c r="D305" s="11" t="s">
        <v>10</v>
      </c>
      <c r="E305" s="46">
        <f>SUM(E306:E307)</f>
        <v>0</v>
      </c>
      <c r="F305" s="46">
        <f>SUM(F306:F307)</f>
        <v>0</v>
      </c>
      <c r="G305" s="46">
        <f>SUM(G306:G307)</f>
        <v>0</v>
      </c>
      <c r="H305" s="98">
        <f>SUM(H306:H307)</f>
        <v>0</v>
      </c>
      <c r="K305" s="9" t="s">
        <v>25</v>
      </c>
      <c r="L305" s="10" t="s">
        <v>26</v>
      </c>
      <c r="M305" s="11" t="s">
        <v>10</v>
      </c>
      <c r="N305" s="46">
        <f>SUM(N306:N307)</f>
        <v>0</v>
      </c>
      <c r="O305" s="46">
        <f>SUM(O306:O307)</f>
        <v>0</v>
      </c>
      <c r="P305" s="46">
        <f>SUM(P306:P307)</f>
        <v>0</v>
      </c>
      <c r="Q305" s="98">
        <f>SUM(Q306:Q307)</f>
        <v>0</v>
      </c>
      <c r="T305" s="9" t="s">
        <v>25</v>
      </c>
      <c r="U305" s="10" t="s">
        <v>26</v>
      </c>
      <c r="V305" s="11" t="s">
        <v>10</v>
      </c>
      <c r="W305" s="98">
        <f t="shared" ref="W305:AB305" si="130">SUM(W306:W307)</f>
        <v>0</v>
      </c>
      <c r="X305" s="98">
        <f t="shared" si="130"/>
        <v>0</v>
      </c>
      <c r="Y305" s="98">
        <f t="shared" si="130"/>
        <v>0</v>
      </c>
      <c r="Z305" s="98">
        <f t="shared" si="130"/>
        <v>0</v>
      </c>
      <c r="AA305" s="98">
        <f t="shared" si="130"/>
        <v>0</v>
      </c>
      <c r="AB305" s="98">
        <f t="shared" si="130"/>
        <v>0</v>
      </c>
      <c r="AC305" s="183"/>
      <c r="AD305" s="183"/>
      <c r="AK305" s="183"/>
      <c r="AL305" s="183"/>
      <c r="AM305" s="183"/>
      <c r="AN305" s="183"/>
    </row>
    <row r="306" spans="2:40" x14ac:dyDescent="0.25">
      <c r="B306" s="12" t="s">
        <v>27</v>
      </c>
      <c r="C306" s="13" t="s">
        <v>28</v>
      </c>
      <c r="D306" s="3" t="s">
        <v>10</v>
      </c>
      <c r="E306" s="49">
        <v>0</v>
      </c>
      <c r="F306" s="589">
        <f>IF(YEAR(Postup!$H$25)&gt;$D$284,Provozování!AD31,IF(AND(DAY(Postup!$H$25)=31,MONTH(Postup!$H$25)=12,YEAR(Postup!$H$25)=$D$284),Provozování!AD31,IF(YEAR(Postup!$H$25)=$D$284,Provozování!$BL31,0)))</f>
        <v>0</v>
      </c>
      <c r="G306" s="49">
        <v>0</v>
      </c>
      <c r="H306" s="590">
        <f>IF(YEAR(Postup!$H$25)&gt;$D$284,Provozování!AE31,IF(AND(DAY(Postup!$H$25)=31,MONTH(Postup!$H$25)=12,YEAR(Postup!$H$25)=$D$284),Provozování!AE31,IF(YEAR(Postup!$H$25)=$D$284,Provozování!$BM31,0)))</f>
        <v>0</v>
      </c>
      <c r="K306" s="12" t="s">
        <v>27</v>
      </c>
      <c r="L306" s="13" t="s">
        <v>28</v>
      </c>
      <c r="M306" s="3" t="s">
        <v>10</v>
      </c>
      <c r="N306" s="49">
        <v>0</v>
      </c>
      <c r="O306" s="443">
        <f>IF(Provozování!$AF$16="Neaktivní",0,Provozování!AF31)</f>
        <v>0</v>
      </c>
      <c r="P306" s="49">
        <v>0</v>
      </c>
      <c r="Q306" s="443">
        <f>IF(Provozování!$AF$16="Neaktivní",0,Provozování!AG31)</f>
        <v>0</v>
      </c>
      <c r="T306" s="12" t="s">
        <v>27</v>
      </c>
      <c r="U306" s="13" t="s">
        <v>28</v>
      </c>
      <c r="V306" s="3" t="s">
        <v>10</v>
      </c>
      <c r="W306" s="595">
        <v>0</v>
      </c>
      <c r="X306" s="49">
        <f>IF(Provozování!$AF$16="Neaktivní",F306,F306*Výpočty!$L$58+O306)</f>
        <v>0</v>
      </c>
      <c r="Y306" s="49">
        <f t="shared" ref="Y306:Y307" si="131">W306-X306</f>
        <v>0</v>
      </c>
      <c r="Z306" s="595">
        <v>0</v>
      </c>
      <c r="AA306" s="49">
        <f>IF(Provozování!$AF$16="Neaktivní",H306,H306*Výpočty!$L$58+Q306)</f>
        <v>0</v>
      </c>
      <c r="AB306" s="32">
        <f t="shared" ref="AB306:AB307" si="132">Z306-AA306</f>
        <v>0</v>
      </c>
      <c r="AC306" s="183"/>
      <c r="AD306" s="183"/>
      <c r="AK306" s="183"/>
      <c r="AL306" s="183"/>
      <c r="AM306" s="183"/>
      <c r="AN306" s="183"/>
    </row>
    <row r="307" spans="2:40" x14ac:dyDescent="0.25">
      <c r="B307" s="12" t="s">
        <v>29</v>
      </c>
      <c r="C307" s="13" t="s">
        <v>30</v>
      </c>
      <c r="D307" s="3" t="s">
        <v>10</v>
      </c>
      <c r="E307" s="49">
        <v>0</v>
      </c>
      <c r="F307" s="589">
        <f>IF(YEAR(Postup!$H$25)&gt;$D$284,Provozování!AD32,IF(AND(DAY(Postup!$H$25)=31,MONTH(Postup!$H$25)=12,YEAR(Postup!$H$25)=$D$284),Provozování!AD32,IF(YEAR(Postup!$H$25)=$D$284,Provozování!$BL32,0)))</f>
        <v>0</v>
      </c>
      <c r="G307" s="49">
        <v>0</v>
      </c>
      <c r="H307" s="590">
        <f>IF(YEAR(Postup!$H$25)&gt;$D$284,Provozování!AE32,IF(AND(DAY(Postup!$H$25)=31,MONTH(Postup!$H$25)=12,YEAR(Postup!$H$25)=$D$284),Provozování!AE32,IF(YEAR(Postup!$H$25)=$D$284,Provozování!$BM32,0)))</f>
        <v>0</v>
      </c>
      <c r="K307" s="12" t="s">
        <v>29</v>
      </c>
      <c r="L307" s="13" t="s">
        <v>30</v>
      </c>
      <c r="M307" s="3" t="s">
        <v>10</v>
      </c>
      <c r="N307" s="49">
        <v>0</v>
      </c>
      <c r="O307" s="443">
        <f>IF(Provozování!$AF$16="Neaktivní",0,Provozování!AF32)</f>
        <v>0</v>
      </c>
      <c r="P307" s="49">
        <v>0</v>
      </c>
      <c r="Q307" s="443">
        <f>IF(Provozování!$AF$16="Neaktivní",0,Provozování!AG32)</f>
        <v>0</v>
      </c>
      <c r="T307" s="12" t="s">
        <v>29</v>
      </c>
      <c r="U307" s="13" t="s">
        <v>30</v>
      </c>
      <c r="V307" s="3" t="s">
        <v>10</v>
      </c>
      <c r="W307" s="595">
        <v>0</v>
      </c>
      <c r="X307" s="49">
        <f>IF(Provozování!$AF$16="Neaktivní",F307,F307*Výpočty!$L$58+O307)</f>
        <v>0</v>
      </c>
      <c r="Y307" s="49">
        <f t="shared" si="131"/>
        <v>0</v>
      </c>
      <c r="Z307" s="595">
        <v>0</v>
      </c>
      <c r="AA307" s="49">
        <f>IF(Provozování!$AF$16="Neaktivní",H307,H307*Výpočty!$L$58+Q307)</f>
        <v>0</v>
      </c>
      <c r="AB307" s="32">
        <f t="shared" si="132"/>
        <v>0</v>
      </c>
      <c r="AC307" s="183"/>
      <c r="AD307" s="183"/>
      <c r="AK307" s="183"/>
      <c r="AL307" s="183"/>
      <c r="AM307" s="183"/>
      <c r="AN307" s="183"/>
    </row>
    <row r="308" spans="2:40" x14ac:dyDescent="0.25">
      <c r="B308" s="9" t="s">
        <v>31</v>
      </c>
      <c r="C308" s="10" t="s">
        <v>32</v>
      </c>
      <c r="D308" s="11" t="s">
        <v>10</v>
      </c>
      <c r="E308" s="46">
        <f>SUM(E309:E312)</f>
        <v>0</v>
      </c>
      <c r="F308" s="46">
        <f>SUM(F309:F312)</f>
        <v>0</v>
      </c>
      <c r="G308" s="46">
        <f>SUM(G309:G312)</f>
        <v>0</v>
      </c>
      <c r="H308" s="98">
        <f>SUM(H309:H312)</f>
        <v>0.15</v>
      </c>
      <c r="K308" s="9" t="s">
        <v>31</v>
      </c>
      <c r="L308" s="10" t="s">
        <v>32</v>
      </c>
      <c r="M308" s="11" t="s">
        <v>10</v>
      </c>
      <c r="N308" s="46">
        <f>SUM(N309:N312)</f>
        <v>0</v>
      </c>
      <c r="O308" s="46">
        <f>SUM(O309:O312)</f>
        <v>0</v>
      </c>
      <c r="P308" s="46">
        <f>SUM(P309:P312)</f>
        <v>0</v>
      </c>
      <c r="Q308" s="98">
        <f>SUM(Q309:Q312)</f>
        <v>0</v>
      </c>
      <c r="T308" s="9" t="s">
        <v>31</v>
      </c>
      <c r="U308" s="10" t="s">
        <v>32</v>
      </c>
      <c r="V308" s="11" t="s">
        <v>10</v>
      </c>
      <c r="W308" s="98">
        <f t="shared" ref="W308:AB308" si="133">SUM(W309:W312)</f>
        <v>0</v>
      </c>
      <c r="X308" s="98">
        <f t="shared" si="133"/>
        <v>0</v>
      </c>
      <c r="Y308" s="98">
        <f t="shared" si="133"/>
        <v>0</v>
      </c>
      <c r="Z308" s="98">
        <f t="shared" si="133"/>
        <v>0</v>
      </c>
      <c r="AA308" s="98">
        <f t="shared" si="133"/>
        <v>0.15</v>
      </c>
      <c r="AB308" s="98">
        <f t="shared" si="133"/>
        <v>-0.15</v>
      </c>
      <c r="AC308" s="183"/>
      <c r="AD308" s="183"/>
      <c r="AK308" s="183"/>
      <c r="AL308" s="183"/>
      <c r="AM308" s="183"/>
      <c r="AN308" s="183"/>
    </row>
    <row r="309" spans="2:40" x14ac:dyDescent="0.25">
      <c r="B309" s="12" t="s">
        <v>33</v>
      </c>
      <c r="C309" s="21" t="s">
        <v>34</v>
      </c>
      <c r="D309" s="3" t="s">
        <v>10</v>
      </c>
      <c r="E309" s="49">
        <v>0</v>
      </c>
      <c r="F309" s="49">
        <f>IF(YEAR(Postup!$H$25)&gt;$D$284,Provozování!AD34,IF(AND(DAY(Postup!$H$25)=31,MONTH(Postup!$H$25)=12,YEAR(Postup!$H$25)=$D$284),Provozování!AD34,IF(YEAR(Postup!$H$25)=$D$284,Provozování!$BL34,0)))</f>
        <v>0</v>
      </c>
      <c r="G309" s="49">
        <v>0</v>
      </c>
      <c r="H309" s="32">
        <f>IF(YEAR(Postup!$H$25)&gt;$D$284,Provozování!AE34,IF(AND(DAY(Postup!$H$25)=31,MONTH(Postup!$H$25)=12,YEAR(Postup!$H$25)=$D$284),Provozování!AE34,IF(YEAR(Postup!$H$25)=$D$284,Provozování!$BM34,0)))</f>
        <v>0</v>
      </c>
      <c r="K309" s="12" t="s">
        <v>33</v>
      </c>
      <c r="L309" s="21" t="s">
        <v>34</v>
      </c>
      <c r="M309" s="3" t="s">
        <v>10</v>
      </c>
      <c r="N309" s="49">
        <v>0</v>
      </c>
      <c r="O309" s="49">
        <f>IF(Provozování!$AF$16="Neaktivní",0,Provozování!AF34)</f>
        <v>0</v>
      </c>
      <c r="P309" s="49">
        <v>0</v>
      </c>
      <c r="Q309" s="59">
        <f>IF(Provozování!$AF$16="Neaktivní",0,Provozování!AG34)</f>
        <v>0</v>
      </c>
      <c r="T309" s="12" t="s">
        <v>33</v>
      </c>
      <c r="U309" s="21" t="s">
        <v>34</v>
      </c>
      <c r="V309" s="3" t="s">
        <v>10</v>
      </c>
      <c r="W309" s="595">
        <v>0</v>
      </c>
      <c r="X309" s="49">
        <f>IF(Provozování!$AF$16="Neaktivní",F309,F309*Výpočty!$L$58+O309)</f>
        <v>0</v>
      </c>
      <c r="Y309" s="49">
        <f t="shared" ref="Y309:Y311" si="134">W309-X309</f>
        <v>0</v>
      </c>
      <c r="Z309" s="595">
        <v>0</v>
      </c>
      <c r="AA309" s="49">
        <f>IF(Provozování!$AF$16="Neaktivní",H309,H309*Výpočty!$L$58+Q309)</f>
        <v>0</v>
      </c>
      <c r="AB309" s="32">
        <f t="shared" ref="AB309:AB311" si="135">Z309-AA309</f>
        <v>0</v>
      </c>
      <c r="AC309" s="183"/>
      <c r="AD309" s="183"/>
      <c r="AK309" s="183"/>
      <c r="AL309" s="183"/>
      <c r="AM309" s="183"/>
      <c r="AN309" s="183"/>
    </row>
    <row r="310" spans="2:40" x14ac:dyDescent="0.25">
      <c r="B310" s="12" t="s">
        <v>35</v>
      </c>
      <c r="C310" s="13" t="s">
        <v>36</v>
      </c>
      <c r="D310" s="3" t="s">
        <v>10</v>
      </c>
      <c r="E310" s="49">
        <v>0</v>
      </c>
      <c r="F310" s="589">
        <f>IF(YEAR(Postup!$H$25)&gt;$D$284,Provozování!AD35,IF(AND(DAY(Postup!$H$25)=31,MONTH(Postup!$H$25)=12,YEAR(Postup!$H$25)=$D$284),Provozování!AD35,IF(YEAR(Postup!$H$25)=$D$284,Provozování!$BL35,0)))</f>
        <v>0</v>
      </c>
      <c r="G310" s="49">
        <v>0</v>
      </c>
      <c r="H310" s="590">
        <f>IF(YEAR(Postup!$H$25)&gt;$D$284,Provozování!AE35,IF(AND(DAY(Postup!$H$25)=31,MONTH(Postup!$H$25)=12,YEAR(Postup!$H$25)=$D$284),Provozování!AE35,IF(YEAR(Postup!$H$25)=$D$284,Provozování!$BM35,0)))</f>
        <v>0</v>
      </c>
      <c r="K310" s="12" t="s">
        <v>35</v>
      </c>
      <c r="L310" s="13" t="s">
        <v>36</v>
      </c>
      <c r="M310" s="3" t="s">
        <v>10</v>
      </c>
      <c r="N310" s="49">
        <v>0</v>
      </c>
      <c r="O310" s="444">
        <f>IF(Provozování!$AF$16="Neaktivní",0,Provozování!AF35)</f>
        <v>0</v>
      </c>
      <c r="P310" s="49">
        <v>0</v>
      </c>
      <c r="Q310" s="450">
        <f>IF(Provozování!$AF$16="Neaktivní",0,Provozování!AG35)</f>
        <v>0</v>
      </c>
      <c r="T310" s="12" t="s">
        <v>35</v>
      </c>
      <c r="U310" s="13" t="s">
        <v>36</v>
      </c>
      <c r="V310" s="3" t="s">
        <v>10</v>
      </c>
      <c r="W310" s="595">
        <v>0</v>
      </c>
      <c r="X310" s="49">
        <f>IF(Provozování!$AF$16="Neaktivní",F310,F310*Výpočty!$L$58+O310)</f>
        <v>0</v>
      </c>
      <c r="Y310" s="49">
        <f t="shared" si="134"/>
        <v>0</v>
      </c>
      <c r="Z310" s="595">
        <v>0</v>
      </c>
      <c r="AA310" s="49">
        <f>IF(Provozování!$AF$16="Neaktivní",H310,H310*Výpočty!$L$58+Q310)</f>
        <v>0</v>
      </c>
      <c r="AB310" s="32">
        <f t="shared" si="135"/>
        <v>0</v>
      </c>
      <c r="AC310" s="183"/>
      <c r="AD310" s="183"/>
      <c r="AK310" s="183"/>
      <c r="AL310" s="183"/>
      <c r="AM310" s="183"/>
      <c r="AN310" s="183"/>
    </row>
    <row r="311" spans="2:40" x14ac:dyDescent="0.25">
      <c r="B311" s="12" t="s">
        <v>37</v>
      </c>
      <c r="C311" s="13" t="s">
        <v>38</v>
      </c>
      <c r="D311" s="3" t="s">
        <v>10</v>
      </c>
      <c r="E311" s="49">
        <v>0</v>
      </c>
      <c r="F311" s="49">
        <f>IF(YEAR(Postup!$H$25)&gt;$D$284,Provozování!AD36,IF(AND(DAY(Postup!$H$25)=31,MONTH(Postup!$H$25)=12,YEAR(Postup!$H$25)=$D$284),Provozování!AD36,IF(YEAR(Postup!$H$25)=$D$284,Provozování!$BL36,0)))</f>
        <v>0</v>
      </c>
      <c r="G311" s="49">
        <v>0</v>
      </c>
      <c r="H311" s="32">
        <f>IF(YEAR(Postup!$H$25)&gt;$D$284,Provozování!AE36,IF(AND(DAY(Postup!$H$25)=31,MONTH(Postup!$H$25)=12,YEAR(Postup!$H$25)=$D$284),Provozování!AE36,IF(YEAR(Postup!$H$25)=$D$284,Provozování!$BM36,0)))</f>
        <v>0.15</v>
      </c>
      <c r="K311" s="12" t="s">
        <v>37</v>
      </c>
      <c r="L311" s="13" t="s">
        <v>38</v>
      </c>
      <c r="M311" s="3" t="s">
        <v>10</v>
      </c>
      <c r="N311" s="49">
        <v>0</v>
      </c>
      <c r="O311" s="49">
        <f>IF(Provozování!$AF$16="Neaktivní",0,Provozování!AF36)</f>
        <v>0</v>
      </c>
      <c r="P311" s="49">
        <v>0</v>
      </c>
      <c r="Q311" s="59">
        <f>IF(Provozování!$AF$16="Neaktivní",0,Provozování!AG36)</f>
        <v>0</v>
      </c>
      <c r="T311" s="12" t="s">
        <v>37</v>
      </c>
      <c r="U311" s="13" t="s">
        <v>38</v>
      </c>
      <c r="V311" s="3" t="s">
        <v>10</v>
      </c>
      <c r="W311" s="595">
        <v>0</v>
      </c>
      <c r="X311" s="49">
        <f>IF(Provozování!$AF$16="Neaktivní",F311,F311*Výpočty!$L$58+O311)</f>
        <v>0</v>
      </c>
      <c r="Y311" s="49">
        <f t="shared" si="134"/>
        <v>0</v>
      </c>
      <c r="Z311" s="595">
        <v>0</v>
      </c>
      <c r="AA311" s="49">
        <f>IF(Provozování!$AF$16="Neaktivní",H311,H311*Výpočty!$L$58+Q311)</f>
        <v>0.15</v>
      </c>
      <c r="AB311" s="32">
        <f t="shared" si="135"/>
        <v>-0.15</v>
      </c>
      <c r="AC311" s="183"/>
      <c r="AD311" s="183"/>
      <c r="AK311" s="183"/>
      <c r="AL311" s="183"/>
      <c r="AM311" s="183"/>
      <c r="AN311" s="183"/>
    </row>
    <row r="312" spans="2:40" x14ac:dyDescent="0.25">
      <c r="B312" s="12" t="s">
        <v>39</v>
      </c>
      <c r="C312" s="21" t="s">
        <v>40</v>
      </c>
      <c r="D312" s="3" t="s">
        <v>10</v>
      </c>
      <c r="E312" s="49">
        <v>0</v>
      </c>
      <c r="F312" s="445">
        <v>0</v>
      </c>
      <c r="G312" s="49">
        <v>0</v>
      </c>
      <c r="H312" s="442">
        <v>0</v>
      </c>
      <c r="K312" s="12" t="s">
        <v>39</v>
      </c>
      <c r="L312" s="21" t="s">
        <v>40</v>
      </c>
      <c r="M312" s="3" t="s">
        <v>10</v>
      </c>
      <c r="N312" s="49">
        <v>0</v>
      </c>
      <c r="O312" s="445">
        <v>0</v>
      </c>
      <c r="P312" s="49">
        <v>0</v>
      </c>
      <c r="Q312" s="442">
        <v>0</v>
      </c>
      <c r="T312" s="12" t="s">
        <v>39</v>
      </c>
      <c r="U312" s="21" t="s">
        <v>40</v>
      </c>
      <c r="V312" s="3" t="s">
        <v>10</v>
      </c>
      <c r="W312" s="445">
        <v>0</v>
      </c>
      <c r="X312" s="445">
        <v>0</v>
      </c>
      <c r="Y312" s="445">
        <v>0</v>
      </c>
      <c r="Z312" s="445">
        <v>0</v>
      </c>
      <c r="AA312" s="445">
        <v>0</v>
      </c>
      <c r="AB312" s="442">
        <v>0</v>
      </c>
      <c r="AC312" s="183"/>
      <c r="AD312" s="183"/>
      <c r="AK312" s="183"/>
      <c r="AL312" s="183"/>
      <c r="AM312" s="183"/>
      <c r="AN312" s="183"/>
    </row>
    <row r="313" spans="2:40" x14ac:dyDescent="0.25">
      <c r="B313" s="9" t="s">
        <v>41</v>
      </c>
      <c r="C313" s="10" t="s">
        <v>42</v>
      </c>
      <c r="D313" s="11" t="s">
        <v>10</v>
      </c>
      <c r="E313" s="46">
        <f>SUM(E314:E316)</f>
        <v>0</v>
      </c>
      <c r="F313" s="46">
        <f>SUM(F314:F316)</f>
        <v>0</v>
      </c>
      <c r="G313" s="46">
        <f>SUM(G314:G316)</f>
        <v>0</v>
      </c>
      <c r="H313" s="98">
        <f>SUM(H314:H316)</f>
        <v>0</v>
      </c>
      <c r="K313" s="9" t="s">
        <v>41</v>
      </c>
      <c r="L313" s="10" t="s">
        <v>42</v>
      </c>
      <c r="M313" s="11" t="s">
        <v>10</v>
      </c>
      <c r="N313" s="46">
        <f>SUM(N314:N316)</f>
        <v>0</v>
      </c>
      <c r="O313" s="46">
        <f>SUM(O314:O316)</f>
        <v>0</v>
      </c>
      <c r="P313" s="46">
        <f>SUM(P314:P316)</f>
        <v>0</v>
      </c>
      <c r="Q313" s="98">
        <f>SUM(Q314:Q316)</f>
        <v>0</v>
      </c>
      <c r="T313" s="9" t="s">
        <v>41</v>
      </c>
      <c r="U313" s="10" t="s">
        <v>42</v>
      </c>
      <c r="V313" s="11" t="s">
        <v>10</v>
      </c>
      <c r="W313" s="98">
        <f t="shared" ref="W313:AB313" si="136">SUM(W314:W316)</f>
        <v>0</v>
      </c>
      <c r="X313" s="98">
        <f t="shared" si="136"/>
        <v>0</v>
      </c>
      <c r="Y313" s="98">
        <f t="shared" si="136"/>
        <v>0</v>
      </c>
      <c r="Z313" s="98">
        <f t="shared" si="136"/>
        <v>0</v>
      </c>
      <c r="AA313" s="98">
        <f t="shared" si="136"/>
        <v>0</v>
      </c>
      <c r="AB313" s="98">
        <f t="shared" si="136"/>
        <v>0</v>
      </c>
      <c r="AC313" s="183"/>
      <c r="AD313" s="183"/>
      <c r="AK313" s="183"/>
      <c r="AL313" s="183"/>
      <c r="AM313" s="183"/>
      <c r="AN313" s="183"/>
    </row>
    <row r="314" spans="2:40" x14ac:dyDescent="0.25">
      <c r="B314" s="12" t="s">
        <v>43</v>
      </c>
      <c r="C314" s="13" t="s">
        <v>44</v>
      </c>
      <c r="D314" s="3" t="s">
        <v>10</v>
      </c>
      <c r="E314" s="49">
        <v>0</v>
      </c>
      <c r="F314" s="445">
        <v>0</v>
      </c>
      <c r="G314" s="49">
        <v>0</v>
      </c>
      <c r="H314" s="32">
        <f>IF(YEAR(Postup!$H$25)&gt;$D$284,Provozování!AE39,IF(AND(DAY(Postup!$H$25)=31,MONTH(Postup!$H$25)=12,YEAR(Postup!$H$25)=$D$284),Provozování!AE39,IF(YEAR(Postup!$H$25)=$D$284,Provozování!$BM39,0)))</f>
        <v>0</v>
      </c>
      <c r="K314" s="12" t="s">
        <v>43</v>
      </c>
      <c r="L314" s="13" t="s">
        <v>44</v>
      </c>
      <c r="M314" s="3" t="s">
        <v>10</v>
      </c>
      <c r="N314" s="49">
        <v>0</v>
      </c>
      <c r="O314" s="445">
        <v>0</v>
      </c>
      <c r="P314" s="49">
        <v>0</v>
      </c>
      <c r="Q314" s="59">
        <f>IF(Provozování!$AF$16="Neaktivní",0,Provozování!AG39)</f>
        <v>0</v>
      </c>
      <c r="T314" s="12" t="s">
        <v>43</v>
      </c>
      <c r="U314" s="13" t="s">
        <v>44</v>
      </c>
      <c r="V314" s="3" t="s">
        <v>10</v>
      </c>
      <c r="W314" s="445">
        <v>0</v>
      </c>
      <c r="X314" s="445">
        <v>0</v>
      </c>
      <c r="Y314" s="445">
        <v>0</v>
      </c>
      <c r="Z314" s="595">
        <v>0</v>
      </c>
      <c r="AA314" s="49">
        <f>IF(Provozování!$AF$16="Neaktivní",H314,H314*Výpočty!$L$58+Q314)</f>
        <v>0</v>
      </c>
      <c r="AB314" s="32">
        <f t="shared" ref="AB314:AB317" si="137">Z314-AA314</f>
        <v>0</v>
      </c>
      <c r="AC314" s="183"/>
      <c r="AD314" s="183"/>
      <c r="AE314" s="951" t="s">
        <v>362</v>
      </c>
      <c r="AF314" s="952"/>
      <c r="AG314" s="447">
        <f>Y294</f>
        <v>2024</v>
      </c>
      <c r="AH314" s="447">
        <f>AG314</f>
        <v>2024</v>
      </c>
      <c r="AK314" s="183"/>
      <c r="AL314" s="183"/>
      <c r="AM314" s="183"/>
      <c r="AN314" s="183"/>
    </row>
    <row r="315" spans="2:40" x14ac:dyDescent="0.25">
      <c r="B315" s="12" t="s">
        <v>45</v>
      </c>
      <c r="C315" s="12" t="s">
        <v>46</v>
      </c>
      <c r="D315" s="3" t="s">
        <v>10</v>
      </c>
      <c r="E315" s="49">
        <v>0</v>
      </c>
      <c r="F315" s="589">
        <f>IF(YEAR(Postup!$H$25)&gt;$D$284,Provozování!AD40,IF(AND(DAY(Postup!$H$25)=31,MONTH(Postup!$H$25)=12,YEAR(Postup!$H$25)=$D$284),Provozování!AD40,IF(YEAR(Postup!$H$25)=$D$284,Provozování!$BL40,0)))</f>
        <v>0</v>
      </c>
      <c r="G315" s="49">
        <v>0</v>
      </c>
      <c r="H315" s="590">
        <f>IF(YEAR(Postup!$H$25)&gt;$D$284,Provozování!AE40,IF(AND(DAY(Postup!$H$25)=31,MONTH(Postup!$H$25)=12,YEAR(Postup!$H$25)=$D$284),Provozování!AE40,IF(YEAR(Postup!$H$25)=$D$284,Provozování!$BM40,0)))</f>
        <v>0</v>
      </c>
      <c r="K315" s="12" t="s">
        <v>45</v>
      </c>
      <c r="L315" s="12" t="s">
        <v>46</v>
      </c>
      <c r="M315" s="3" t="s">
        <v>10</v>
      </c>
      <c r="N315" s="49">
        <v>0</v>
      </c>
      <c r="O315" s="443">
        <f>IF(Provozování!$AF$16="Neaktivní",0,Provozování!AF40)</f>
        <v>0</v>
      </c>
      <c r="P315" s="49">
        <v>0</v>
      </c>
      <c r="Q315" s="443">
        <f>IF(Provozování!$AF$16="Neaktivní",0,Provozování!AG40)</f>
        <v>0</v>
      </c>
      <c r="T315" s="12" t="s">
        <v>45</v>
      </c>
      <c r="U315" s="12" t="s">
        <v>46</v>
      </c>
      <c r="V315" s="3" t="s">
        <v>10</v>
      </c>
      <c r="W315" s="595">
        <v>0</v>
      </c>
      <c r="X315" s="49">
        <f>IF(Provozování!$AF$16="Neaktivní",F315,F315*Výpočty!$L$58+O315)</f>
        <v>0</v>
      </c>
      <c r="Y315" s="49">
        <f t="shared" ref="Y315:Y317" si="138">W315-X315</f>
        <v>0</v>
      </c>
      <c r="Z315" s="595">
        <v>0</v>
      </c>
      <c r="AA315" s="49">
        <f>IF(Provozování!$AF$16="Neaktivní",H315,H315*Výpočty!$L$58+Q315)</f>
        <v>0</v>
      </c>
      <c r="AB315" s="32">
        <f t="shared" si="137"/>
        <v>0</v>
      </c>
      <c r="AC315" s="183"/>
      <c r="AD315" s="183"/>
      <c r="AE315" s="953"/>
      <c r="AF315" s="954"/>
      <c r="AG315" s="957" t="s">
        <v>299</v>
      </c>
      <c r="AH315" s="957" t="s">
        <v>300</v>
      </c>
      <c r="AK315" s="183"/>
      <c r="AL315" s="183"/>
      <c r="AM315" s="183"/>
      <c r="AN315" s="183"/>
    </row>
    <row r="316" spans="2:40" x14ac:dyDescent="0.25">
      <c r="B316" s="12" t="s">
        <v>47</v>
      </c>
      <c r="C316" s="13" t="s">
        <v>48</v>
      </c>
      <c r="D316" s="3" t="s">
        <v>10</v>
      </c>
      <c r="E316" s="49">
        <v>0</v>
      </c>
      <c r="F316" s="589">
        <f>IF(YEAR(Postup!$H$25)&gt;$D$284,Provozování!AD41,IF(AND(DAY(Postup!$H$25)=31,MONTH(Postup!$H$25)=12,YEAR(Postup!$H$25)=$D$284),Provozování!AD41,IF(YEAR(Postup!$H$25)=$D$284,Provozování!$BL41,0)))</f>
        <v>0</v>
      </c>
      <c r="G316" s="49">
        <v>0</v>
      </c>
      <c r="H316" s="590">
        <f>IF(YEAR(Postup!$H$25)&gt;$D$284,Provozování!AE41,IF(AND(DAY(Postup!$H$25)=31,MONTH(Postup!$H$25)=12,YEAR(Postup!$H$25)=$D$284),Provozování!AE41,IF(YEAR(Postup!$H$25)=$D$284,Provozování!$BM41,0)))</f>
        <v>0</v>
      </c>
      <c r="K316" s="12" t="s">
        <v>47</v>
      </c>
      <c r="L316" s="13" t="s">
        <v>48</v>
      </c>
      <c r="M316" s="3" t="s">
        <v>10</v>
      </c>
      <c r="N316" s="49">
        <v>0</v>
      </c>
      <c r="O316" s="443">
        <f>IF(Provozování!$AF$16="Neaktivní",0,Provozování!AF41)</f>
        <v>0</v>
      </c>
      <c r="P316" s="49">
        <v>0</v>
      </c>
      <c r="Q316" s="443">
        <f>IF(Provozování!$AF$16="Neaktivní",0,Provozování!AG41)</f>
        <v>0</v>
      </c>
      <c r="T316" s="12" t="s">
        <v>47</v>
      </c>
      <c r="U316" s="13" t="s">
        <v>48</v>
      </c>
      <c r="V316" s="3" t="s">
        <v>10</v>
      </c>
      <c r="W316" s="595">
        <v>0</v>
      </c>
      <c r="X316" s="49">
        <f>IF(Provozování!$AF$16="Neaktivní",F316,F316*Výpočty!$L$58+O316)</f>
        <v>0</v>
      </c>
      <c r="Y316" s="49">
        <f t="shared" si="138"/>
        <v>0</v>
      </c>
      <c r="Z316" s="595">
        <v>0</v>
      </c>
      <c r="AA316" s="49">
        <f>IF(Provozování!$AF$16="Neaktivní",H316,H316*Výpočty!$L$58+Q316)</f>
        <v>0</v>
      </c>
      <c r="AB316" s="32">
        <f t="shared" si="137"/>
        <v>0</v>
      </c>
      <c r="AC316" s="183"/>
      <c r="AD316" s="183"/>
      <c r="AE316" s="955"/>
      <c r="AF316" s="956"/>
      <c r="AG316" s="958"/>
      <c r="AH316" s="958"/>
      <c r="AK316" s="183"/>
      <c r="AL316" s="183"/>
      <c r="AM316" s="183"/>
      <c r="AN316" s="183"/>
    </row>
    <row r="317" spans="2:40" x14ac:dyDescent="0.25">
      <c r="B317" s="9" t="s">
        <v>49</v>
      </c>
      <c r="C317" s="10" t="s">
        <v>50</v>
      </c>
      <c r="D317" s="11" t="s">
        <v>10</v>
      </c>
      <c r="E317" s="49">
        <v>0</v>
      </c>
      <c r="F317" s="589">
        <f>IF(YEAR(Postup!$H$25)&gt;$D$284,Provozování!AD42,IF(AND(DAY(Postup!$H$25)=31,MONTH(Postup!$H$25)=12,YEAR(Postup!$H$25)=$D$284),Provozování!AD42,IF(YEAR(Postup!$H$25)=$D$284,Provozování!$BL42,0)))</f>
        <v>0</v>
      </c>
      <c r="G317" s="49">
        <v>0</v>
      </c>
      <c r="H317" s="590">
        <f>IF(YEAR(Postup!$H$25)&gt;$D$284,Provozování!AF42,IF(AND(DAY(Postup!$H$25)=31,MONTH(Postup!$H$25)=12,YEAR(Postup!$H$25)=$D$284),Provozování!AF42,IF(YEAR(Postup!$H$25)=$D$284,Provozování!$BL42,0)))</f>
        <v>0</v>
      </c>
      <c r="K317" s="9" t="s">
        <v>49</v>
      </c>
      <c r="L317" s="10" t="s">
        <v>50</v>
      </c>
      <c r="M317" s="11" t="s">
        <v>10</v>
      </c>
      <c r="N317" s="49">
        <v>0</v>
      </c>
      <c r="O317" s="443">
        <f>IF(Provozování!$AF$16="Neaktivní",0,Provozování!AF42)</f>
        <v>0</v>
      </c>
      <c r="P317" s="49">
        <v>0</v>
      </c>
      <c r="Q317" s="443">
        <f>IF(Provozování!$AF$16="Neaktivní",0,Provozování!AG42)</f>
        <v>0</v>
      </c>
      <c r="T317" s="9" t="s">
        <v>49</v>
      </c>
      <c r="U317" s="10" t="s">
        <v>50</v>
      </c>
      <c r="V317" s="11" t="s">
        <v>10</v>
      </c>
      <c r="W317" s="595">
        <v>0</v>
      </c>
      <c r="X317" s="49">
        <f>IF(Provozování!$AF$16="Neaktivní",F317,F317*Výpočty!$L$58+O317)</f>
        <v>0</v>
      </c>
      <c r="Y317" s="49">
        <f t="shared" si="138"/>
        <v>0</v>
      </c>
      <c r="Z317" s="595">
        <v>0</v>
      </c>
      <c r="AA317" s="49">
        <f>IF(Provozování!$AF$16="Neaktivní",H317,H317*Výpočty!$L$58+Q317)</f>
        <v>0</v>
      </c>
      <c r="AB317" s="32">
        <f t="shared" si="137"/>
        <v>0</v>
      </c>
      <c r="AC317" s="183"/>
      <c r="AD317" s="183"/>
      <c r="AE317" s="12" t="s">
        <v>405</v>
      </c>
      <c r="AF317" s="12" t="s">
        <v>408</v>
      </c>
      <c r="AG317" s="542">
        <f>Z345</f>
        <v>0</v>
      </c>
      <c r="AH317" s="542">
        <f ca="1">AB345</f>
        <v>31.982761014850567</v>
      </c>
      <c r="AK317" s="183"/>
      <c r="AL317" s="183"/>
      <c r="AM317" s="183"/>
      <c r="AN317" s="183"/>
    </row>
    <row r="318" spans="2:40" x14ac:dyDescent="0.25">
      <c r="B318" s="9" t="s">
        <v>51</v>
      </c>
      <c r="C318" s="10" t="s">
        <v>52</v>
      </c>
      <c r="D318" s="11" t="s">
        <v>10</v>
      </c>
      <c r="E318" s="49">
        <v>0</v>
      </c>
      <c r="F318" s="589">
        <f>IF(YEAR(Postup!$H$25)&gt;$D$284,Provozování!AD43-Provozování!AD97,IF(AND(DAY(Postup!$H$25)=31,MONTH(Postup!$H$25)=12,YEAR(Postup!$H$25)=$D$284),Provozování!AD43-Provozování!AD97,IF(YEAR(Postup!$H$25)=$D$284,Provozování!$BL43-Provozování!AD97,0)))</f>
        <v>0</v>
      </c>
      <c r="G318" s="49">
        <v>0</v>
      </c>
      <c r="H318" s="590">
        <f ca="1">IF(YEAR(Postup!$H$25)&gt;$D$284,Provozování!AF43-Provozování!AE97,IF(AND(DAY(Postup!$H$25)=31,MONTH(Postup!$H$25)=12,YEAR(Postup!$H$25)=$D$284),Provozování!AF43-Provozování!AE97,IF(YEAR(Postup!$H$25)=$D$284,Provozování!$BL43-Provozování!AE97,0)))</f>
        <v>0</v>
      </c>
      <c r="K318" s="9" t="s">
        <v>51</v>
      </c>
      <c r="L318" s="10" t="s">
        <v>52</v>
      </c>
      <c r="M318" s="11" t="s">
        <v>10</v>
      </c>
      <c r="N318" s="49">
        <v>0</v>
      </c>
      <c r="O318" s="443">
        <f>IF(Provozování!$AF$16="Neaktivní",0,Provozování!AF43-Provozování!AD97*Výpočty!L53)</f>
        <v>0</v>
      </c>
      <c r="P318" s="49">
        <v>0</v>
      </c>
      <c r="Q318" s="443">
        <f>IF(Provozování!$AF$16="Neaktivní",0,Provozování!AG43-Provozování!AE97*Výpočty!L53)</f>
        <v>0</v>
      </c>
      <c r="T318" s="9" t="s">
        <v>51</v>
      </c>
      <c r="U318" s="10" t="s">
        <v>52</v>
      </c>
      <c r="V318" s="11" t="s">
        <v>10</v>
      </c>
      <c r="W318" s="595">
        <v>0</v>
      </c>
      <c r="X318" s="49">
        <f>IF(Provozování!$AF$16="Neaktivní",F318,F318*Výpočty!$L$58+O318)</f>
        <v>0</v>
      </c>
      <c r="Y318" s="49">
        <f>ABS(W318)-ABS(X318)</f>
        <v>0</v>
      </c>
      <c r="Z318" s="595">
        <v>0</v>
      </c>
      <c r="AA318" s="49">
        <f ca="1">IF(Provozování!$AF$16="Neaktivní",H318,H318*Výpočty!$L$58+Q318)</f>
        <v>0</v>
      </c>
      <c r="AB318" s="32">
        <f ca="1">ABS(Z318)-ABS(AA318)</f>
        <v>0</v>
      </c>
      <c r="AC318" s="183"/>
      <c r="AD318" s="183"/>
      <c r="AE318" s="12" t="s">
        <v>406</v>
      </c>
      <c r="AF318" s="13" t="s">
        <v>410</v>
      </c>
      <c r="AG318" s="360">
        <f>Y344</f>
        <v>0</v>
      </c>
      <c r="AH318" s="360">
        <f>AA344</f>
        <v>0</v>
      </c>
      <c r="AK318" s="183"/>
      <c r="AL318" s="183"/>
      <c r="AM318" s="183"/>
      <c r="AN318" s="183"/>
    </row>
    <row r="319" spans="2:40" x14ac:dyDescent="0.25">
      <c r="B319" s="9" t="s">
        <v>53</v>
      </c>
      <c r="C319" s="10" t="s">
        <v>54</v>
      </c>
      <c r="D319" s="11" t="s">
        <v>10</v>
      </c>
      <c r="E319" s="49">
        <v>0</v>
      </c>
      <c r="F319" s="589">
        <f>IF(YEAR(Postup!$H$25)&gt;$D$284,Provozování!AD44,IF(AND(DAY(Postup!$H$25)=31,MONTH(Postup!$H$25)=12,YEAR(Postup!$H$25)=$D$284),Provozování!AD44,IF(YEAR(Postup!$H$25)=$D$284,Provozování!$BL44,0)))</f>
        <v>0</v>
      </c>
      <c r="G319" s="49">
        <v>0</v>
      </c>
      <c r="H319" s="590">
        <f>IF(YEAR(Postup!$H$25)&gt;$D$284,Provozování!AE44,IF(AND(DAY(Postup!$H$25)=31,MONTH(Postup!$H$25)=12,YEAR(Postup!$H$25)=$D$284),Provozování!AE44,IF(YEAR(Postup!$H$25)=$D$284,Provozování!$BM44,0)))</f>
        <v>0</v>
      </c>
      <c r="K319" s="9" t="s">
        <v>53</v>
      </c>
      <c r="L319" s="10" t="s">
        <v>54</v>
      </c>
      <c r="M319" s="11" t="s">
        <v>10</v>
      </c>
      <c r="N319" s="49">
        <v>0</v>
      </c>
      <c r="O319" s="443">
        <f>IF(Provozování!$AF$16="Neaktivní",0,Provozování!AF44)</f>
        <v>0</v>
      </c>
      <c r="P319" s="49">
        <v>0</v>
      </c>
      <c r="Q319" s="443">
        <f>IF(Provozování!$AF$16="Neaktivní",0,Provozování!AG44)</f>
        <v>0</v>
      </c>
      <c r="T319" s="9" t="s">
        <v>53</v>
      </c>
      <c r="U319" s="10" t="s">
        <v>54</v>
      </c>
      <c r="V319" s="11" t="s">
        <v>10</v>
      </c>
      <c r="W319" s="595">
        <v>0</v>
      </c>
      <c r="X319" s="49">
        <f>IF(Provozování!$AF$16="Neaktivní",F319,F319*Výpočty!$L$58+O319)</f>
        <v>0</v>
      </c>
      <c r="Y319" s="49">
        <f t="shared" ref="Y319:Y320" si="139">W319-X319</f>
        <v>0</v>
      </c>
      <c r="Z319" s="595">
        <v>0</v>
      </c>
      <c r="AA319" s="49">
        <f>IF(Provozování!$AF$16="Neaktivní",H319,H319*Výpočty!$L$58+Q319)</f>
        <v>0</v>
      </c>
      <c r="AB319" s="32">
        <f t="shared" ref="AB319:AB320" si="140">Z319-AA319</f>
        <v>0</v>
      </c>
      <c r="AC319" s="183"/>
      <c r="AD319" s="183"/>
      <c r="AE319" s="12" t="s">
        <v>407</v>
      </c>
      <c r="AF319" s="13" t="s">
        <v>409</v>
      </c>
      <c r="AG319" s="360">
        <f>Z344</f>
        <v>0</v>
      </c>
      <c r="AH319" s="360">
        <f>AB344</f>
        <v>1.4E-2</v>
      </c>
      <c r="AK319" s="183"/>
      <c r="AL319" s="183"/>
      <c r="AM319" s="183"/>
      <c r="AN319" s="183"/>
    </row>
    <row r="320" spans="2:40" x14ac:dyDescent="0.25">
      <c r="B320" s="9" t="s">
        <v>55</v>
      </c>
      <c r="C320" s="10" t="s">
        <v>56</v>
      </c>
      <c r="D320" s="11" t="s">
        <v>10</v>
      </c>
      <c r="E320" s="49">
        <v>0</v>
      </c>
      <c r="F320" s="589">
        <f>IF(YEAR(Postup!$H$25)&gt;$D$284,Provozování!AD45,IF(AND(DAY(Postup!$H$25)=31,MONTH(Postup!$H$25)=12,YEAR(Postup!$H$25)=$D$284),Provozování!AD45,IF(YEAR(Postup!$H$25)=$D$284,Provozování!$BL45,0)))</f>
        <v>0</v>
      </c>
      <c r="G320" s="49">
        <v>0</v>
      </c>
      <c r="H320" s="590">
        <f>IF(YEAR(Postup!$H$25)&gt;$D$284,Provozování!AE45,IF(AND(DAY(Postup!$H$25)=31,MONTH(Postup!$H$25)=12,YEAR(Postup!$H$25)=$D$284),Provozování!AE45,IF(YEAR(Postup!$H$25)=$D$284,Provozování!$BM45,0)))</f>
        <v>0</v>
      </c>
      <c r="K320" s="9" t="s">
        <v>55</v>
      </c>
      <c r="L320" s="10" t="s">
        <v>56</v>
      </c>
      <c r="M320" s="11" t="s">
        <v>10</v>
      </c>
      <c r="N320" s="49">
        <v>0</v>
      </c>
      <c r="O320" s="443">
        <f>IF(Provozování!$AF$16="Neaktivní",0,Provozování!AF45)</f>
        <v>0</v>
      </c>
      <c r="P320" s="49">
        <v>0</v>
      </c>
      <c r="Q320" s="443">
        <f>IF(Provozování!$AF$16="Neaktivní",0,Provozování!AG45)</f>
        <v>0</v>
      </c>
      <c r="T320" s="9" t="s">
        <v>55</v>
      </c>
      <c r="U320" s="10" t="s">
        <v>56</v>
      </c>
      <c r="V320" s="11" t="s">
        <v>10</v>
      </c>
      <c r="W320" s="595">
        <v>0</v>
      </c>
      <c r="X320" s="49">
        <f>IF(Provozování!$AF$16="Neaktivní",F320,F320*Výpočty!$L$58+O320)</f>
        <v>0</v>
      </c>
      <c r="Y320" s="49">
        <f t="shared" si="139"/>
        <v>0</v>
      </c>
      <c r="Z320" s="595">
        <v>0</v>
      </c>
      <c r="AA320" s="49">
        <f>IF(Provozování!$AF$16="Neaktivní",H320,H320*Výpočty!$L$58+Q320)</f>
        <v>0</v>
      </c>
      <c r="AB320" s="32">
        <f t="shared" si="140"/>
        <v>0</v>
      </c>
      <c r="AC320" s="183"/>
      <c r="AD320" s="183"/>
      <c r="AE320" s="12" t="s">
        <v>411</v>
      </c>
      <c r="AF320" s="12" t="s">
        <v>419</v>
      </c>
      <c r="AG320" s="360">
        <f>X321-X311</f>
        <v>0</v>
      </c>
      <c r="AH320" s="360">
        <f ca="1">AA321-AA311</f>
        <v>0.28999999999999992</v>
      </c>
      <c r="AK320" s="183"/>
      <c r="AL320" s="183"/>
      <c r="AM320" s="183"/>
      <c r="AN320" s="183"/>
    </row>
    <row r="321" spans="2:40" x14ac:dyDescent="0.25">
      <c r="B321" s="9" t="s">
        <v>57</v>
      </c>
      <c r="C321" s="10" t="s">
        <v>58</v>
      </c>
      <c r="D321" s="11" t="s">
        <v>10</v>
      </c>
      <c r="E321" s="46">
        <f>E297+E302+E305+E308+E313+E317+E318+E319+E320</f>
        <v>0</v>
      </c>
      <c r="F321" s="46">
        <f>F297+F302+F305+F308+F313+F317+F318+F319+F320</f>
        <v>0</v>
      </c>
      <c r="G321" s="46">
        <f>G297+G302+G305+G308+G313+G317+G318+G319+G320</f>
        <v>0</v>
      </c>
      <c r="H321" s="98">
        <f ca="1">H297+H302+H305+H308+H313+H317+H318+H319+H320</f>
        <v>0.43999999999999995</v>
      </c>
      <c r="K321" s="9" t="s">
        <v>57</v>
      </c>
      <c r="L321" s="10" t="s">
        <v>58</v>
      </c>
      <c r="M321" s="11" t="s">
        <v>10</v>
      </c>
      <c r="N321" s="46">
        <f>N297+N302+N305+N308+N313+N317+N318+N319+N320</f>
        <v>0</v>
      </c>
      <c r="O321" s="46">
        <f>O297+O302+O305+O308+O313+O317+O318+O319+O320</f>
        <v>0</v>
      </c>
      <c r="P321" s="46">
        <f>P297+P302+P305+P308+P313+P317+P318+P319+P320</f>
        <v>0</v>
      </c>
      <c r="Q321" s="98">
        <f>Q297+Q302+Q305+Q308+Q313+Q317+Q318+Q319+Q320</f>
        <v>0</v>
      </c>
      <c r="T321" s="9" t="s">
        <v>57</v>
      </c>
      <c r="U321" s="10" t="s">
        <v>58</v>
      </c>
      <c r="V321" s="11" t="s">
        <v>10</v>
      </c>
      <c r="W321" s="46">
        <f t="shared" ref="W321:AB321" si="141">W297+W302+W305+W308+W313+W317+W318+W319+W320</f>
        <v>0</v>
      </c>
      <c r="X321" s="46">
        <f t="shared" si="141"/>
        <v>0</v>
      </c>
      <c r="Y321" s="46">
        <f t="shared" si="141"/>
        <v>0</v>
      </c>
      <c r="Z321" s="46">
        <f t="shared" si="141"/>
        <v>0</v>
      </c>
      <c r="AA321" s="46">
        <f t="shared" ca="1" si="141"/>
        <v>0.43999999999999995</v>
      </c>
      <c r="AB321" s="98">
        <f t="shared" ca="1" si="141"/>
        <v>-0.43999999999999995</v>
      </c>
      <c r="AC321" s="183"/>
      <c r="AD321" s="183"/>
      <c r="AE321" s="12" t="s">
        <v>412</v>
      </c>
      <c r="AF321" s="12" t="s">
        <v>418</v>
      </c>
      <c r="AG321" s="360">
        <f>W321-W311</f>
        <v>0</v>
      </c>
      <c r="AH321" s="360">
        <f>Z321-Z311</f>
        <v>0</v>
      </c>
      <c r="AK321" s="183"/>
      <c r="AL321" s="183"/>
      <c r="AM321" s="183"/>
      <c r="AN321" s="183"/>
    </row>
    <row r="322" spans="2:40" x14ac:dyDescent="0.25">
      <c r="B322" s="12" t="s">
        <v>59</v>
      </c>
      <c r="C322" s="13" t="s">
        <v>112</v>
      </c>
      <c r="D322" s="3" t="s">
        <v>10</v>
      </c>
      <c r="E322" s="437">
        <v>0</v>
      </c>
      <c r="F322" s="591">
        <f>F252</f>
        <v>0</v>
      </c>
      <c r="G322" s="437">
        <v>0</v>
      </c>
      <c r="H322" s="593">
        <f>H252</f>
        <v>0</v>
      </c>
      <c r="K322" s="12" t="s">
        <v>59</v>
      </c>
      <c r="L322" s="13" t="s">
        <v>112</v>
      </c>
      <c r="M322" s="3" t="s">
        <v>10</v>
      </c>
      <c r="N322" s="437">
        <v>0</v>
      </c>
      <c r="O322" s="437">
        <f>IF(Provozování!$V$16="Neaktivní",0,F322)</f>
        <v>0</v>
      </c>
      <c r="P322" s="437">
        <v>0</v>
      </c>
      <c r="Q322" s="438">
        <f>IF(Provozování!$V$16="Neaktivní",0,H322)</f>
        <v>0</v>
      </c>
      <c r="T322" s="47" t="s">
        <v>59</v>
      </c>
      <c r="U322" s="13" t="s">
        <v>112</v>
      </c>
      <c r="V322" s="3" t="s">
        <v>10</v>
      </c>
      <c r="W322" s="591">
        <v>0</v>
      </c>
      <c r="X322" s="437">
        <f>F322</f>
        <v>0</v>
      </c>
      <c r="Y322" s="437">
        <f>W322-X322</f>
        <v>0</v>
      </c>
      <c r="Z322" s="591">
        <v>0</v>
      </c>
      <c r="AA322" s="437">
        <f>H322</f>
        <v>0</v>
      </c>
      <c r="AB322" s="438">
        <f>Z322-AA322</f>
        <v>0</v>
      </c>
      <c r="AC322" s="183"/>
      <c r="AD322" s="183"/>
      <c r="AE322" s="12" t="s">
        <v>430</v>
      </c>
      <c r="AF322" s="12" t="s">
        <v>431</v>
      </c>
      <c r="AG322" s="360">
        <f>Provozování!AD$97</f>
        <v>0</v>
      </c>
      <c r="AH322" s="360">
        <f ca="1">Provozování!AE$97</f>
        <v>0</v>
      </c>
      <c r="AK322" s="183"/>
      <c r="AL322" s="183"/>
      <c r="AM322" s="183"/>
      <c r="AN322" s="183"/>
    </row>
    <row r="323" spans="2:40" x14ac:dyDescent="0.25">
      <c r="B323" s="12" t="s">
        <v>60</v>
      </c>
      <c r="C323" s="13" t="s">
        <v>113</v>
      </c>
      <c r="D323" s="3" t="s">
        <v>10</v>
      </c>
      <c r="E323" s="437">
        <v>0</v>
      </c>
      <c r="F323" s="591">
        <f>F253</f>
        <v>0</v>
      </c>
      <c r="G323" s="437">
        <v>0</v>
      </c>
      <c r="H323" s="593">
        <f>H253</f>
        <v>0</v>
      </c>
      <c r="K323" s="12" t="s">
        <v>60</v>
      </c>
      <c r="L323" s="13" t="s">
        <v>113</v>
      </c>
      <c r="M323" s="3" t="s">
        <v>10</v>
      </c>
      <c r="N323" s="437">
        <v>0</v>
      </c>
      <c r="O323" s="437">
        <f>IF(Provozování!$V$16="Neaktivní",0,F323)</f>
        <v>0</v>
      </c>
      <c r="P323" s="437">
        <v>0</v>
      </c>
      <c r="Q323" s="438">
        <f>IF(Provozování!$V$16="Neaktivní",0,H323)</f>
        <v>0</v>
      </c>
      <c r="T323" s="12" t="s">
        <v>60</v>
      </c>
      <c r="U323" s="13" t="s">
        <v>113</v>
      </c>
      <c r="V323" s="3" t="s">
        <v>10</v>
      </c>
      <c r="W323" s="591">
        <v>0</v>
      </c>
      <c r="X323" s="437">
        <f>F323</f>
        <v>0</v>
      </c>
      <c r="Y323" s="437">
        <f>W323-X323</f>
        <v>0</v>
      </c>
      <c r="Z323" s="591">
        <v>0</v>
      </c>
      <c r="AA323" s="437">
        <f>H323</f>
        <v>0</v>
      </c>
      <c r="AB323" s="438">
        <f>Z323-AA323</f>
        <v>0</v>
      </c>
      <c r="AC323" s="183"/>
      <c r="AD323" s="183"/>
      <c r="AE323" s="554" t="s">
        <v>434</v>
      </c>
      <c r="AF323" s="555"/>
      <c r="AG323" s="959">
        <f>(AG317*AG318-AG317*AG319)+(AG320-AG321)-AG322</f>
        <v>0</v>
      </c>
      <c r="AH323" s="959">
        <f ca="1">(AH317*AH318-AH317*AH319)+(AH320-AH321)-AH322</f>
        <v>-0.15775865420790802</v>
      </c>
      <c r="AK323" s="183"/>
      <c r="AL323" s="183"/>
      <c r="AM323" s="183"/>
      <c r="AN323" s="183"/>
    </row>
    <row r="324" spans="2:40" x14ac:dyDescent="0.25">
      <c r="B324" s="12" t="s">
        <v>61</v>
      </c>
      <c r="C324" s="13" t="s">
        <v>62</v>
      </c>
      <c r="D324" s="3" t="s">
        <v>63</v>
      </c>
      <c r="E324" s="439">
        <v>0</v>
      </c>
      <c r="F324" s="592">
        <f>F254</f>
        <v>0</v>
      </c>
      <c r="G324" s="439">
        <v>0</v>
      </c>
      <c r="H324" s="592">
        <f>H254</f>
        <v>0</v>
      </c>
      <c r="K324" s="12" t="s">
        <v>61</v>
      </c>
      <c r="L324" s="13" t="s">
        <v>62</v>
      </c>
      <c r="M324" s="3" t="s">
        <v>63</v>
      </c>
      <c r="N324" s="439">
        <v>0</v>
      </c>
      <c r="O324" s="439">
        <f>IF(Provozování!$V$16="Neaktivní",0,F324)</f>
        <v>0</v>
      </c>
      <c r="P324" s="439">
        <v>0</v>
      </c>
      <c r="Q324" s="440">
        <f>IF(Provozování!$V$16="Neaktivní",0,H324)</f>
        <v>0</v>
      </c>
      <c r="T324" s="12" t="s">
        <v>61</v>
      </c>
      <c r="U324" s="13" t="s">
        <v>62</v>
      </c>
      <c r="V324" s="3" t="s">
        <v>63</v>
      </c>
      <c r="W324" s="599">
        <v>0</v>
      </c>
      <c r="X324" s="439">
        <f>F324</f>
        <v>0</v>
      </c>
      <c r="Y324" s="440">
        <f>W324-X324</f>
        <v>0</v>
      </c>
      <c r="Z324" s="599">
        <v>0</v>
      </c>
      <c r="AA324" s="439">
        <f>H324</f>
        <v>0</v>
      </c>
      <c r="AB324" s="440">
        <f>Z324-AA324</f>
        <v>0</v>
      </c>
      <c r="AC324" s="183"/>
      <c r="AD324" s="183"/>
      <c r="AE324" s="544" t="s">
        <v>432</v>
      </c>
      <c r="AF324" s="543"/>
      <c r="AG324" s="960"/>
      <c r="AH324" s="960"/>
      <c r="AK324" s="183"/>
      <c r="AL324" s="183"/>
      <c r="AM324" s="183"/>
      <c r="AN324" s="183"/>
    </row>
    <row r="325" spans="2:40" x14ac:dyDescent="0.25">
      <c r="B325" s="12" t="s">
        <v>64</v>
      </c>
      <c r="C325" s="13" t="s">
        <v>65</v>
      </c>
      <c r="D325" s="3" t="s">
        <v>66</v>
      </c>
      <c r="E325" s="49">
        <v>0</v>
      </c>
      <c r="F325" s="49">
        <f>IF(YEAR(Postup!$H$25)&gt;$D$284,Provozování!AD47,IF(AND(DAY(Postup!$H$25)=31,MONTH(Postup!$H$25)=12,YEAR(Postup!$H$25)=$D$284),Provozování!AD47,IF(YEAR(Postup!$H$25)=$D$284,Provozování!$BL47,0)))</f>
        <v>0</v>
      </c>
      <c r="G325" s="49">
        <v>0</v>
      </c>
      <c r="H325" s="442">
        <v>0</v>
      </c>
      <c r="K325" s="12" t="s">
        <v>64</v>
      </c>
      <c r="L325" s="13" t="s">
        <v>65</v>
      </c>
      <c r="M325" s="3" t="s">
        <v>66</v>
      </c>
      <c r="N325" s="49">
        <v>0</v>
      </c>
      <c r="O325" s="49">
        <f>IF(Provozování!$AF$16="Neaktivní",0,Provozování!AF47)</f>
        <v>0</v>
      </c>
      <c r="P325" s="49">
        <v>0</v>
      </c>
      <c r="Q325" s="442">
        <v>0</v>
      </c>
      <c r="T325" s="12" t="s">
        <v>64</v>
      </c>
      <c r="U325" s="13" t="s">
        <v>65</v>
      </c>
      <c r="V325" s="3" t="s">
        <v>66</v>
      </c>
      <c r="W325" s="595">
        <v>0</v>
      </c>
      <c r="X325" s="49">
        <f>IF(Provozování!$AF$16="Neaktivní",F325,F325*Výpočty!$L$58+O325)</f>
        <v>0</v>
      </c>
      <c r="Y325" s="49">
        <f>W325-X325</f>
        <v>0</v>
      </c>
      <c r="Z325" s="445">
        <v>0</v>
      </c>
      <c r="AA325" s="445">
        <v>0</v>
      </c>
      <c r="AB325" s="442">
        <v>0</v>
      </c>
      <c r="AC325" s="183"/>
      <c r="AD325" s="183"/>
      <c r="AE325" s="963" t="s">
        <v>416</v>
      </c>
      <c r="AF325" s="964"/>
      <c r="AG325" s="957" t="str">
        <f>IF(AG323&gt;0,"úspora",IF(AG323&lt;0,"ztráta provozovatele","-"))</f>
        <v>-</v>
      </c>
      <c r="AH325" s="957" t="str">
        <f ca="1">IF(AH323&gt;0,"úspora",IF(AH323&lt;0,"ztráta provozovatele","-"))</f>
        <v>ztráta provozovatele</v>
      </c>
      <c r="AK325" s="183"/>
      <c r="AL325" s="183"/>
      <c r="AM325" s="183"/>
      <c r="AN325" s="183"/>
    </row>
    <row r="326" spans="2:40" x14ac:dyDescent="0.25">
      <c r="B326" s="12" t="s">
        <v>67</v>
      </c>
      <c r="C326" s="13" t="s">
        <v>68</v>
      </c>
      <c r="D326" s="3" t="s">
        <v>66</v>
      </c>
      <c r="E326" s="49">
        <v>0</v>
      </c>
      <c r="F326" s="49">
        <f>IF(YEAR(Postup!$H$25)&gt;$D$284,Provozování!AD48,IF(AND(DAY(Postup!$H$25)=31,MONTH(Postup!$H$25)=12,YEAR(Postup!$H$25)=$D$284),Provozování!AD48,IF(YEAR(Postup!$H$25)=$D$284,Provozování!$BL48,0)))</f>
        <v>0</v>
      </c>
      <c r="G326" s="49">
        <v>0</v>
      </c>
      <c r="H326" s="442">
        <v>0</v>
      </c>
      <c r="K326" s="12" t="s">
        <v>67</v>
      </c>
      <c r="L326" s="13" t="s">
        <v>68</v>
      </c>
      <c r="M326" s="3" t="s">
        <v>66</v>
      </c>
      <c r="N326" s="49">
        <v>0</v>
      </c>
      <c r="O326" s="49">
        <f>IF(Provozování!$AF$16="Neaktivní",0,Provozování!AF48)</f>
        <v>0</v>
      </c>
      <c r="P326" s="49">
        <v>0</v>
      </c>
      <c r="Q326" s="442">
        <v>0</v>
      </c>
      <c r="T326" s="12" t="s">
        <v>67</v>
      </c>
      <c r="U326" s="13" t="s">
        <v>68</v>
      </c>
      <c r="V326" s="3" t="s">
        <v>66</v>
      </c>
      <c r="W326" s="595">
        <v>0</v>
      </c>
      <c r="X326" s="49">
        <f>IF(Provozování!$AF$16="Neaktivní",F326,F326*Výpočty!$L$58+O326)</f>
        <v>0</v>
      </c>
      <c r="Y326" s="49">
        <f>W326-X326</f>
        <v>0</v>
      </c>
      <c r="Z326" s="445">
        <v>0</v>
      </c>
      <c r="AA326" s="445">
        <v>0</v>
      </c>
      <c r="AB326" s="442">
        <v>0</v>
      </c>
      <c r="AC326" s="183"/>
      <c r="AD326" s="183"/>
      <c r="AE326" s="965"/>
      <c r="AF326" s="966"/>
      <c r="AG326" s="958"/>
      <c r="AH326" s="958"/>
      <c r="AK326" s="183"/>
      <c r="AL326" s="183"/>
      <c r="AM326" s="183"/>
      <c r="AN326" s="183"/>
    </row>
    <row r="327" spans="2:40" x14ac:dyDescent="0.25">
      <c r="B327" s="12" t="s">
        <v>69</v>
      </c>
      <c r="C327" s="13" t="s">
        <v>70</v>
      </c>
      <c r="D327" s="3" t="s">
        <v>66</v>
      </c>
      <c r="E327" s="49">
        <v>0</v>
      </c>
      <c r="F327" s="445">
        <v>0</v>
      </c>
      <c r="G327" s="49">
        <v>0</v>
      </c>
      <c r="H327" s="32">
        <f>IF(YEAR(Postup!$H$25)&gt;$D$284,Provozování!AE49,IF(AND(DAY(Postup!$H$25)=31,MONTH(Postup!$H$25)=12,YEAR(Postup!$H$25)=$D$284),Provozování!AE49,IF(YEAR(Postup!$H$25)=$D$284,Provozování!$BM49,0)))</f>
        <v>1.4E-2</v>
      </c>
      <c r="K327" s="12" t="s">
        <v>69</v>
      </c>
      <c r="L327" s="13" t="s">
        <v>70</v>
      </c>
      <c r="M327" s="3" t="s">
        <v>66</v>
      </c>
      <c r="N327" s="49">
        <v>0</v>
      </c>
      <c r="O327" s="445">
        <v>0</v>
      </c>
      <c r="P327" s="49">
        <v>0</v>
      </c>
      <c r="Q327" s="59">
        <f>IF(Provozování!$AF$16="Neaktivní",0,Provozování!AG49)</f>
        <v>0</v>
      </c>
      <c r="T327" s="12" t="s">
        <v>69</v>
      </c>
      <c r="U327" s="13" t="s">
        <v>70</v>
      </c>
      <c r="V327" s="3" t="s">
        <v>66</v>
      </c>
      <c r="W327" s="445">
        <v>0</v>
      </c>
      <c r="X327" s="445">
        <v>0</v>
      </c>
      <c r="Y327" s="445">
        <v>0</v>
      </c>
      <c r="Z327" s="595">
        <v>0</v>
      </c>
      <c r="AA327" s="49">
        <f>IF(Provozování!$AF$16="Neaktivní",H327,H327*Výpočty!$L$58+Q327)</f>
        <v>1.4E-2</v>
      </c>
      <c r="AB327" s="32">
        <f t="shared" ref="AB327:AB332" si="142">Z327-AA327</f>
        <v>-1.4E-2</v>
      </c>
      <c r="AC327" s="183"/>
      <c r="AD327" s="183"/>
      <c r="AE327" s="533" t="s">
        <v>422</v>
      </c>
      <c r="AF327" s="533"/>
      <c r="AG327" s="453">
        <f>IF(AG323&gt;0,AG323/AG320,0)</f>
        <v>0</v>
      </c>
      <c r="AH327" s="453">
        <f ca="1">IF(AH323&gt;0,AH323/AH320,0)</f>
        <v>0</v>
      </c>
      <c r="AK327" s="183"/>
      <c r="AL327" s="183"/>
      <c r="AM327" s="183"/>
      <c r="AN327" s="183"/>
    </row>
    <row r="328" spans="2:40" x14ac:dyDescent="0.25">
      <c r="B328" s="12" t="s">
        <v>71</v>
      </c>
      <c r="C328" s="13" t="s">
        <v>68</v>
      </c>
      <c r="D328" s="3" t="s">
        <v>66</v>
      </c>
      <c r="E328" s="49">
        <v>0</v>
      </c>
      <c r="F328" s="445">
        <v>0</v>
      </c>
      <c r="G328" s="49">
        <v>0</v>
      </c>
      <c r="H328" s="32">
        <f>IF(YEAR(Postup!$H$25)&gt;$D$284,Provozování!AE50,IF(AND(DAY(Postup!$H$25)=31,MONTH(Postup!$H$25)=12,YEAR(Postup!$H$25)=$D$284),Provozování!AE50,IF(YEAR(Postup!$H$25)=$D$284,Provozování!$BM50,0)))</f>
        <v>7.4190000000000002E-3</v>
      </c>
      <c r="K328" s="12" t="s">
        <v>71</v>
      </c>
      <c r="L328" s="13" t="s">
        <v>68</v>
      </c>
      <c r="M328" s="3" t="s">
        <v>66</v>
      </c>
      <c r="N328" s="49">
        <v>0</v>
      </c>
      <c r="O328" s="445">
        <v>0</v>
      </c>
      <c r="P328" s="49">
        <v>0</v>
      </c>
      <c r="Q328" s="59">
        <f>IF(Provozování!$AF$16="Neaktivní",0,Provozování!AG50)</f>
        <v>0</v>
      </c>
      <c r="T328" s="12" t="s">
        <v>71</v>
      </c>
      <c r="U328" s="13" t="s">
        <v>68</v>
      </c>
      <c r="V328" s="3" t="s">
        <v>66</v>
      </c>
      <c r="W328" s="445">
        <v>0</v>
      </c>
      <c r="X328" s="445">
        <v>0</v>
      </c>
      <c r="Y328" s="445">
        <v>0</v>
      </c>
      <c r="Z328" s="595">
        <v>0</v>
      </c>
      <c r="AA328" s="49">
        <f>IF(Provozování!$AF$16="Neaktivní",H328,H328*Výpočty!$L$58+Q328)</f>
        <v>7.4190000000000002E-3</v>
      </c>
      <c r="AB328" s="32">
        <f t="shared" si="142"/>
        <v>-7.4190000000000002E-3</v>
      </c>
      <c r="AC328" s="183"/>
      <c r="AD328" s="183"/>
      <c r="AE328" s="556" t="s">
        <v>402</v>
      </c>
      <c r="AF328" s="556"/>
      <c r="AG328" s="961">
        <f>IF(AG327&gt;0,AG320*AI329*0.5,0)</f>
        <v>0</v>
      </c>
      <c r="AH328" s="961">
        <f ca="1">IF(AH327&gt;0,AH320*AJ329*0.5,0)</f>
        <v>0</v>
      </c>
      <c r="AK328" s="183"/>
      <c r="AL328" s="183"/>
      <c r="AM328" s="183"/>
      <c r="AN328" s="183"/>
    </row>
    <row r="329" spans="2:40" x14ac:dyDescent="0.25">
      <c r="B329" s="12" t="s">
        <v>72</v>
      </c>
      <c r="C329" s="13" t="s">
        <v>73</v>
      </c>
      <c r="D329" s="3" t="s">
        <v>66</v>
      </c>
      <c r="E329" s="49">
        <v>0</v>
      </c>
      <c r="F329" s="445">
        <v>0</v>
      </c>
      <c r="G329" s="49">
        <v>0</v>
      </c>
      <c r="H329" s="32">
        <f>IF(YEAR(Postup!$H$25)&gt;$D$284,Provozování!AE51,IF(AND(DAY(Postup!$H$25)=31,MONTH(Postup!$H$25)=12,YEAR(Postup!$H$25)=$D$284),Provozování!AE51,IF(YEAR(Postup!$H$25)=$D$284,Provozování!$BM51,0)))</f>
        <v>0</v>
      </c>
      <c r="K329" s="12" t="s">
        <v>72</v>
      </c>
      <c r="L329" s="13" t="s">
        <v>73</v>
      </c>
      <c r="M329" s="3" t="s">
        <v>66</v>
      </c>
      <c r="N329" s="49">
        <v>0</v>
      </c>
      <c r="O329" s="445">
        <v>0</v>
      </c>
      <c r="P329" s="49">
        <v>0</v>
      </c>
      <c r="Q329" s="59">
        <f>IF(Provozování!$AF$16="Neaktivní",0,Provozování!AG51)</f>
        <v>0</v>
      </c>
      <c r="T329" s="12" t="s">
        <v>72</v>
      </c>
      <c r="U329" s="13" t="s">
        <v>73</v>
      </c>
      <c r="V329" s="3" t="s">
        <v>66</v>
      </c>
      <c r="W329" s="445">
        <v>0</v>
      </c>
      <c r="X329" s="445">
        <v>0</v>
      </c>
      <c r="Y329" s="445">
        <v>0</v>
      </c>
      <c r="Z329" s="595">
        <v>0</v>
      </c>
      <c r="AA329" s="49">
        <f>IF(Provozování!$AF$16="Neaktivní",H329,H329*Výpočty!$L$58+Q329)</f>
        <v>0</v>
      </c>
      <c r="AB329" s="32">
        <f t="shared" si="142"/>
        <v>0</v>
      </c>
      <c r="AC329" s="183"/>
      <c r="AD329" s="183"/>
      <c r="AE329" s="557" t="s">
        <v>413</v>
      </c>
      <c r="AF329" s="557"/>
      <c r="AG329" s="962"/>
      <c r="AH329" s="962"/>
      <c r="AI329" s="454">
        <f>IF(AG327&gt;0.05,0.05,AG327)</f>
        <v>0</v>
      </c>
      <c r="AJ329" s="454">
        <f ca="1">IF(AH327&gt;0.05,0.05,AH327)</f>
        <v>0</v>
      </c>
      <c r="AK329" s="183"/>
      <c r="AL329" s="183"/>
      <c r="AM329" s="183"/>
      <c r="AN329" s="183"/>
    </row>
    <row r="330" spans="2:40" x14ac:dyDescent="0.25">
      <c r="B330" s="12" t="s">
        <v>74</v>
      </c>
      <c r="C330" s="13" t="s">
        <v>75</v>
      </c>
      <c r="D330" s="3" t="s">
        <v>66</v>
      </c>
      <c r="E330" s="49">
        <v>0</v>
      </c>
      <c r="F330" s="445">
        <v>0</v>
      </c>
      <c r="G330" s="49">
        <v>0</v>
      </c>
      <c r="H330" s="32">
        <f>IF(YEAR(Postup!$H$25)&gt;$D$284,Provozování!AE52,IF(AND(DAY(Postup!$H$25)=31,MONTH(Postup!$H$25)=12,YEAR(Postup!$H$25)=$D$284),Provozování!AE52,IF(YEAR(Postup!$H$25)=$D$284,Provozování!$BM52,0)))</f>
        <v>0</v>
      </c>
      <c r="K330" s="12" t="s">
        <v>74</v>
      </c>
      <c r="L330" s="13" t="s">
        <v>75</v>
      </c>
      <c r="M330" s="3" t="s">
        <v>66</v>
      </c>
      <c r="N330" s="49">
        <v>0</v>
      </c>
      <c r="O330" s="445">
        <v>0</v>
      </c>
      <c r="P330" s="49">
        <v>0</v>
      </c>
      <c r="Q330" s="59">
        <f>IF(Provozování!$AF$16="Neaktivní",0,Provozování!AG52)</f>
        <v>0</v>
      </c>
      <c r="T330" s="12" t="s">
        <v>74</v>
      </c>
      <c r="U330" s="13" t="s">
        <v>75</v>
      </c>
      <c r="V330" s="3" t="s">
        <v>66</v>
      </c>
      <c r="W330" s="445">
        <v>0</v>
      </c>
      <c r="X330" s="445">
        <v>0</v>
      </c>
      <c r="Y330" s="445">
        <v>0</v>
      </c>
      <c r="Z330" s="595">
        <v>0</v>
      </c>
      <c r="AA330" s="49">
        <f>IF(Provozování!$AF$16="Neaktivní",H330,H330*Výpočty!$L$58+Q330)</f>
        <v>0</v>
      </c>
      <c r="AB330" s="32">
        <f t="shared" si="142"/>
        <v>0</v>
      </c>
      <c r="AC330" s="183"/>
      <c r="AD330" s="183"/>
      <c r="AE330" s="534" t="s">
        <v>414</v>
      </c>
      <c r="AF330" s="534"/>
      <c r="AG330" s="360">
        <f>IF(AI330&gt;0,AG320*(AI330-0.05)*0.8,0)</f>
        <v>0</v>
      </c>
      <c r="AH330" s="360">
        <f ca="1">IF(AJ330&gt;0,AH320*(AJ330-0.05)*0.8,0)</f>
        <v>0</v>
      </c>
      <c r="AI330" s="454">
        <f>IF(AND(AG327&gt;0.05,AG327&lt;=0.1),AG327,IF(AG327&lt;=0.05,0,0.1))</f>
        <v>0</v>
      </c>
      <c r="AJ330" s="454">
        <f ca="1">IF(AND(AH327&gt;0.05,AH327&lt;=0.1),AH327,IF(AH327&lt;=0.05,0,0.1))</f>
        <v>0</v>
      </c>
      <c r="AK330" s="183"/>
      <c r="AL330" s="183"/>
      <c r="AM330" s="183"/>
      <c r="AN330" s="183"/>
    </row>
    <row r="331" spans="2:40" x14ac:dyDescent="0.25">
      <c r="B331" s="12" t="s">
        <v>76</v>
      </c>
      <c r="C331" s="13" t="s">
        <v>77</v>
      </c>
      <c r="D331" s="3" t="s">
        <v>66</v>
      </c>
      <c r="E331" s="49">
        <v>0</v>
      </c>
      <c r="F331" s="49">
        <f>IF(YEAR(Postup!$H$25)&gt;$D$284,Provozování!AD53,IF(AND(DAY(Postup!$H$25)=31,MONTH(Postup!$H$25)=12,YEAR(Postup!$H$25)=$D$284),Provozování!AD53,IF(YEAR(Postup!$H$25)=$D$284,Provozování!$BL53,0)))</f>
        <v>0</v>
      </c>
      <c r="G331" s="49">
        <v>0</v>
      </c>
      <c r="H331" s="32">
        <f>IF(YEAR(Postup!$H$25)&gt;$D$284,Provozování!AE53,IF(AND(DAY(Postup!$H$25)=31,MONTH(Postup!$H$25)=12,YEAR(Postup!$H$25)=$D$284),Provozování!AE53,IF(YEAR(Postup!$H$25)=$D$284,Provozování!$BM53,0)))</f>
        <v>0</v>
      </c>
      <c r="K331" s="12" t="s">
        <v>76</v>
      </c>
      <c r="L331" s="13" t="s">
        <v>77</v>
      </c>
      <c r="M331" s="3" t="s">
        <v>66</v>
      </c>
      <c r="N331" s="49">
        <v>0</v>
      </c>
      <c r="O331" s="49">
        <f>IF(Provozování!$AF$16="Neaktivní",0,Provozování!AF53)</f>
        <v>0</v>
      </c>
      <c r="P331" s="49">
        <v>0</v>
      </c>
      <c r="Q331" s="59">
        <f>IF(Provozování!$AF$16="Neaktivní",0,Provozování!AG53)</f>
        <v>0</v>
      </c>
      <c r="T331" s="12" t="s">
        <v>76</v>
      </c>
      <c r="U331" s="13" t="s">
        <v>77</v>
      </c>
      <c r="V331" s="3" t="s">
        <v>66</v>
      </c>
      <c r="W331" s="346">
        <v>0</v>
      </c>
      <c r="X331" s="49">
        <f>IF(Provozování!$AF$16="Neaktivní",F331,F331*Výpočty!$L$58+O331)</f>
        <v>0</v>
      </c>
      <c r="Y331" s="49">
        <f>W331-X331</f>
        <v>0</v>
      </c>
      <c r="Z331" s="595">
        <v>0</v>
      </c>
      <c r="AA331" s="49">
        <f>IF(Provozování!$AF$16="Neaktivní",H331,H331*Výpočty!$L$58+Q331)</f>
        <v>0</v>
      </c>
      <c r="AB331" s="32">
        <f t="shared" si="142"/>
        <v>0</v>
      </c>
      <c r="AC331" s="183"/>
      <c r="AD331" s="183"/>
      <c r="AE331" s="534" t="s">
        <v>415</v>
      </c>
      <c r="AF331" s="534"/>
      <c r="AG331" s="360">
        <f>IF(AI331&gt;0,AG320*(AI331-0.1)*1,0)</f>
        <v>0</v>
      </c>
      <c r="AH331" s="360">
        <f ca="1">IF(AJ331&gt;0,AH320*(AJ331-0.1)*1,0)</f>
        <v>0</v>
      </c>
      <c r="AI331" s="454">
        <f>IF(AG327&gt;0.1,AG327,0)</f>
        <v>0</v>
      </c>
      <c r="AJ331" s="454">
        <f ca="1">IF(AH327&gt;0.1,AH327,0)</f>
        <v>0</v>
      </c>
      <c r="AK331" s="183"/>
      <c r="AL331" s="183"/>
      <c r="AM331" s="183"/>
      <c r="AN331" s="183"/>
    </row>
    <row r="332" spans="2:40" x14ac:dyDescent="0.25">
      <c r="B332" s="12" t="s">
        <v>78</v>
      </c>
      <c r="C332" s="13" t="s">
        <v>79</v>
      </c>
      <c r="D332" s="3" t="s">
        <v>66</v>
      </c>
      <c r="E332" s="49">
        <v>0</v>
      </c>
      <c r="F332" s="49">
        <f>IF(YEAR(Postup!$H$25)&gt;$D$284,Provozování!AD54,IF(AND(DAY(Postup!$H$25)=31,MONTH(Postup!$H$25)=12,YEAR(Postup!$H$25)=$D$284),Provozování!AD54,IF(YEAR(Postup!$H$25)=$D$284,Provozování!$BL54,0)))</f>
        <v>0</v>
      </c>
      <c r="G332" s="49">
        <v>0</v>
      </c>
      <c r="H332" s="32">
        <f>IF(YEAR(Postup!$H$25)&gt;$D$284,Provozování!AE54,IF(AND(DAY(Postup!$H$25)=31,MONTH(Postup!$H$25)=12,YEAR(Postup!$H$25)=$D$284),Provozování!AE54,IF(YEAR(Postup!$H$25)=$D$284,Provozování!$BM54,0)))</f>
        <v>1.4E-2</v>
      </c>
      <c r="K332" s="12" t="s">
        <v>78</v>
      </c>
      <c r="L332" s="13" t="s">
        <v>79</v>
      </c>
      <c r="M332" s="3" t="s">
        <v>66</v>
      </c>
      <c r="N332" s="49">
        <v>0</v>
      </c>
      <c r="O332" s="49">
        <f>IF(Provozování!$AF$16="Neaktivní",0,Provozování!AF54)</f>
        <v>0</v>
      </c>
      <c r="P332" s="49">
        <v>0</v>
      </c>
      <c r="Q332" s="32">
        <f>IF(Provozování!$AF$16="Neaktivní",0,Provozování!AG54)</f>
        <v>0</v>
      </c>
      <c r="T332" s="12" t="s">
        <v>78</v>
      </c>
      <c r="U332" s="13" t="s">
        <v>79</v>
      </c>
      <c r="V332" s="3" t="s">
        <v>66</v>
      </c>
      <c r="W332" s="346">
        <v>0</v>
      </c>
      <c r="X332" s="49">
        <f>IF(Provozování!$AF$16="Neaktivní",F332,F332*Výpočty!$L$58+O332)</f>
        <v>0</v>
      </c>
      <c r="Y332" s="49">
        <f>W332-X332</f>
        <v>0</v>
      </c>
      <c r="Z332" s="595">
        <v>0</v>
      </c>
      <c r="AA332" s="49">
        <f>IF(Provozování!$AF$16="Neaktivní",H332,H332*Výpočty!$L$58+Q332)</f>
        <v>1.4E-2</v>
      </c>
      <c r="AB332" s="32">
        <f t="shared" si="142"/>
        <v>-1.4E-2</v>
      </c>
      <c r="AC332" s="183"/>
      <c r="AD332" s="183"/>
      <c r="AE332" s="532" t="s">
        <v>403</v>
      </c>
      <c r="AF332" s="532"/>
      <c r="AG332" s="455">
        <f>SUM(AG328:AG331)</f>
        <v>0</v>
      </c>
      <c r="AH332" s="455">
        <f ca="1">SUM(AH328:AH331)</f>
        <v>0</v>
      </c>
      <c r="AK332" s="183"/>
      <c r="AL332" s="183"/>
      <c r="AM332" s="183"/>
      <c r="AN332" s="183"/>
    </row>
    <row r="333" spans="2:40" x14ac:dyDescent="0.25">
      <c r="B333" s="1"/>
      <c r="C333" s="1"/>
      <c r="D333" s="1"/>
      <c r="E333" s="1"/>
      <c r="F333" s="456"/>
      <c r="G333" s="1"/>
      <c r="H333" s="456"/>
      <c r="K333" s="1"/>
      <c r="L333" s="1"/>
      <c r="M333" s="1"/>
      <c r="N333" s="1"/>
      <c r="O333" s="1"/>
      <c r="P333" s="1"/>
      <c r="Q333" s="1"/>
      <c r="T333" s="1"/>
      <c r="U333" s="1"/>
      <c r="V333" s="1"/>
      <c r="W333" s="1"/>
      <c r="X333" s="1"/>
      <c r="Y333" s="1"/>
      <c r="Z333" s="1"/>
      <c r="AA333" s="1"/>
      <c r="AB333" s="1"/>
      <c r="AC333" s="183"/>
      <c r="AD333" s="183"/>
      <c r="AE333" s="183"/>
      <c r="AF333" s="183"/>
      <c r="AG333" s="183"/>
      <c r="AH333" s="183"/>
      <c r="AI333" s="183"/>
      <c r="AJ333" s="183"/>
      <c r="AK333" s="183"/>
      <c r="AL333" s="183"/>
      <c r="AM333" s="183"/>
      <c r="AN333" s="183"/>
    </row>
    <row r="334" spans="2:40" x14ac:dyDescent="0.25">
      <c r="B334" s="932" t="s">
        <v>5</v>
      </c>
      <c r="C334" s="721" t="s">
        <v>80</v>
      </c>
      <c r="D334" s="722"/>
      <c r="E334" s="723"/>
      <c r="F334" s="724"/>
      <c r="G334" s="722"/>
      <c r="H334" s="725"/>
      <c r="K334" s="932" t="s">
        <v>5</v>
      </c>
      <c r="L334" s="721" t="s">
        <v>80</v>
      </c>
      <c r="M334" s="722"/>
      <c r="N334" s="723"/>
      <c r="O334" s="724"/>
      <c r="P334" s="722"/>
      <c r="Q334" s="725"/>
      <c r="T334" s="771" t="s">
        <v>5</v>
      </c>
      <c r="U334" s="721" t="s">
        <v>80</v>
      </c>
      <c r="V334" s="722"/>
      <c r="W334" s="723"/>
      <c r="X334" s="723"/>
      <c r="Y334" s="724"/>
      <c r="Z334" s="722"/>
      <c r="AA334" s="722"/>
      <c r="AB334" s="725"/>
      <c r="AC334" s="183"/>
      <c r="AD334" s="183"/>
      <c r="AE334" s="183"/>
      <c r="AF334" s="183"/>
      <c r="AG334" s="183"/>
      <c r="AH334" s="183"/>
      <c r="AI334" s="183"/>
      <c r="AJ334" s="183"/>
      <c r="AK334" s="183"/>
      <c r="AL334" s="183"/>
      <c r="AM334" s="183"/>
      <c r="AN334" s="183"/>
    </row>
    <row r="335" spans="2:40" x14ac:dyDescent="0.25">
      <c r="B335" s="930"/>
      <c r="C335" s="932" t="s">
        <v>81</v>
      </c>
      <c r="D335" s="929" t="s">
        <v>173</v>
      </c>
      <c r="E335" s="874" t="s">
        <v>118</v>
      </c>
      <c r="F335" s="937"/>
      <c r="G335" s="26" t="s">
        <v>3</v>
      </c>
      <c r="H335" s="23" t="s">
        <v>4</v>
      </c>
      <c r="K335" s="930"/>
      <c r="L335" s="5" t="s">
        <v>81</v>
      </c>
      <c r="M335" s="929" t="s">
        <v>173</v>
      </c>
      <c r="N335" s="874" t="s">
        <v>118</v>
      </c>
      <c r="O335" s="937"/>
      <c r="P335" s="26" t="s">
        <v>3</v>
      </c>
      <c r="Q335" s="23" t="s">
        <v>4</v>
      </c>
      <c r="T335" s="934"/>
      <c r="U335" s="932" t="s">
        <v>81</v>
      </c>
      <c r="V335" s="929" t="s">
        <v>173</v>
      </c>
      <c r="W335" s="874" t="s">
        <v>118</v>
      </c>
      <c r="X335" s="937"/>
      <c r="Y335" s="874" t="s">
        <v>3</v>
      </c>
      <c r="Z335" s="939"/>
      <c r="AA335" s="940" t="s">
        <v>4</v>
      </c>
      <c r="AB335" s="940"/>
      <c r="AC335" s="183"/>
      <c r="AD335" s="183"/>
      <c r="AE335" s="183"/>
      <c r="AF335" s="183"/>
      <c r="AG335" s="183"/>
      <c r="AH335" s="183"/>
      <c r="AI335" s="183"/>
      <c r="AJ335" s="183"/>
      <c r="AK335" s="183"/>
      <c r="AL335" s="183"/>
      <c r="AM335" s="183"/>
      <c r="AN335" s="183"/>
    </row>
    <row r="336" spans="2:40" x14ac:dyDescent="0.25">
      <c r="B336" s="931"/>
      <c r="C336" s="931"/>
      <c r="D336" s="936"/>
      <c r="E336" s="875"/>
      <c r="F336" s="938"/>
      <c r="G336" s="27" t="s">
        <v>7</v>
      </c>
      <c r="H336" s="24" t="s">
        <v>7</v>
      </c>
      <c r="K336" s="931"/>
      <c r="L336" s="8"/>
      <c r="M336" s="936"/>
      <c r="N336" s="875"/>
      <c r="O336" s="938"/>
      <c r="P336" s="27" t="s">
        <v>7</v>
      </c>
      <c r="Q336" s="24" t="s">
        <v>7</v>
      </c>
      <c r="T336" s="935"/>
      <c r="U336" s="931"/>
      <c r="V336" s="936"/>
      <c r="W336" s="875"/>
      <c r="X336" s="938"/>
      <c r="Y336" s="40" t="s">
        <v>196</v>
      </c>
      <c r="Z336" s="40" t="s">
        <v>7</v>
      </c>
      <c r="AA336" s="40" t="s">
        <v>196</v>
      </c>
      <c r="AB336" s="40" t="s">
        <v>7</v>
      </c>
      <c r="AC336" s="183"/>
      <c r="AD336" s="183"/>
      <c r="AE336" s="183"/>
      <c r="AF336" s="183"/>
      <c r="AG336" s="183"/>
      <c r="AH336" s="183"/>
      <c r="AI336" s="183"/>
      <c r="AJ336" s="183"/>
      <c r="AK336" s="183"/>
      <c r="AL336" s="183"/>
      <c r="AM336" s="183"/>
      <c r="AN336" s="183"/>
    </row>
    <row r="337" spans="1:40" x14ac:dyDescent="0.25">
      <c r="B337" s="11">
        <v>1</v>
      </c>
      <c r="C337" s="11">
        <v>2</v>
      </c>
      <c r="D337" s="11" t="s">
        <v>111</v>
      </c>
      <c r="E337" s="735" t="s">
        <v>115</v>
      </c>
      <c r="F337" s="736"/>
      <c r="G337" s="11" t="s">
        <v>116</v>
      </c>
      <c r="H337" s="22" t="s">
        <v>117</v>
      </c>
      <c r="K337" s="11">
        <v>1</v>
      </c>
      <c r="L337" s="11">
        <v>2</v>
      </c>
      <c r="M337" s="11" t="s">
        <v>111</v>
      </c>
      <c r="N337" s="735" t="s">
        <v>115</v>
      </c>
      <c r="O337" s="736"/>
      <c r="P337" s="11" t="s">
        <v>116</v>
      </c>
      <c r="Q337" s="22" t="s">
        <v>117</v>
      </c>
      <c r="T337" s="11">
        <v>1</v>
      </c>
      <c r="U337" s="11">
        <v>2</v>
      </c>
      <c r="V337" s="11" t="s">
        <v>111</v>
      </c>
      <c r="W337" s="944" t="s">
        <v>115</v>
      </c>
      <c r="X337" s="945"/>
      <c r="Y337" s="11" t="s">
        <v>201</v>
      </c>
      <c r="Z337" s="11" t="s">
        <v>116</v>
      </c>
      <c r="AA337" s="11" t="s">
        <v>200</v>
      </c>
      <c r="AB337" s="22" t="s">
        <v>117</v>
      </c>
      <c r="AC337" s="183"/>
      <c r="AD337" s="183"/>
      <c r="AE337" s="183"/>
      <c r="AF337" s="183"/>
      <c r="AG337" s="183"/>
      <c r="AH337" s="183"/>
      <c r="AI337" s="183"/>
      <c r="AJ337" s="183"/>
      <c r="AK337" s="183"/>
      <c r="AL337" s="183"/>
      <c r="AM337" s="183"/>
      <c r="AN337" s="183"/>
    </row>
    <row r="338" spans="1:40" x14ac:dyDescent="0.25">
      <c r="B338" s="12" t="s">
        <v>82</v>
      </c>
      <c r="C338" s="13" t="s">
        <v>127</v>
      </c>
      <c r="D338" s="13" t="s">
        <v>83</v>
      </c>
      <c r="E338" s="732" t="s">
        <v>120</v>
      </c>
      <c r="F338" s="733"/>
      <c r="G338" s="171">
        <f>IF(G344=0,0,G339/G344)</f>
        <v>0</v>
      </c>
      <c r="H338" s="172">
        <f ca="1">IF(H344=0,0,H339/H344)</f>
        <v>31.428571428571423</v>
      </c>
      <c r="K338" s="12" t="s">
        <v>82</v>
      </c>
      <c r="L338" s="13" t="s">
        <v>127</v>
      </c>
      <c r="M338" s="13" t="s">
        <v>83</v>
      </c>
      <c r="N338" s="732" t="s">
        <v>120</v>
      </c>
      <c r="O338" s="733"/>
      <c r="P338" s="171">
        <f>IF(P344=0,0,P339/P344)</f>
        <v>0</v>
      </c>
      <c r="Q338" s="172">
        <f>IF(Q344=0,0,Q339/Q344)</f>
        <v>0</v>
      </c>
      <c r="T338" s="12" t="s">
        <v>82</v>
      </c>
      <c r="U338" s="13" t="s">
        <v>127</v>
      </c>
      <c r="V338" s="13" t="s">
        <v>83</v>
      </c>
      <c r="W338" s="13" t="s">
        <v>120</v>
      </c>
      <c r="X338" s="101"/>
      <c r="Y338" s="171">
        <f t="shared" ref="Y338:AB338" si="143">IF(Y344=0,0,Y339/Y344)</f>
        <v>0</v>
      </c>
      <c r="Z338" s="171">
        <f t="shared" si="143"/>
        <v>0</v>
      </c>
      <c r="AA338" s="171">
        <f t="shared" si="143"/>
        <v>0</v>
      </c>
      <c r="AB338" s="172">
        <f t="shared" ca="1" si="143"/>
        <v>31.428571428571423</v>
      </c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</row>
    <row r="339" spans="1:40" x14ac:dyDescent="0.25">
      <c r="B339" s="12" t="s">
        <v>84</v>
      </c>
      <c r="C339" s="13" t="s">
        <v>85</v>
      </c>
      <c r="D339" s="13" t="s">
        <v>10</v>
      </c>
      <c r="E339" s="732" t="s">
        <v>121</v>
      </c>
      <c r="F339" s="733"/>
      <c r="G339" s="448">
        <f>F321</f>
        <v>0</v>
      </c>
      <c r="H339" s="449">
        <f ca="1">H321</f>
        <v>0.43999999999999995</v>
      </c>
      <c r="K339" s="12" t="s">
        <v>84</v>
      </c>
      <c r="L339" s="13" t="s">
        <v>85</v>
      </c>
      <c r="M339" s="13" t="s">
        <v>10</v>
      </c>
      <c r="N339" s="732" t="s">
        <v>121</v>
      </c>
      <c r="O339" s="733"/>
      <c r="P339" s="448">
        <f>O321</f>
        <v>0</v>
      </c>
      <c r="Q339" s="449">
        <f>Q321</f>
        <v>0</v>
      </c>
      <c r="T339" s="12" t="s">
        <v>84</v>
      </c>
      <c r="U339" s="13" t="s">
        <v>85</v>
      </c>
      <c r="V339" s="13" t="s">
        <v>10</v>
      </c>
      <c r="W339" s="13" t="s">
        <v>121</v>
      </c>
      <c r="X339" s="101"/>
      <c r="Y339" s="14">
        <f>W321</f>
        <v>0</v>
      </c>
      <c r="Z339" s="14">
        <f>X321</f>
        <v>0</v>
      </c>
      <c r="AA339" s="14">
        <f>Z321</f>
        <v>0</v>
      </c>
      <c r="AB339" s="15">
        <f ca="1">AA321</f>
        <v>0.43999999999999995</v>
      </c>
      <c r="AC339" s="183"/>
      <c r="AD339" s="183"/>
      <c r="AE339" s="183"/>
      <c r="AF339" s="183"/>
      <c r="AG339" s="183"/>
      <c r="AH339" s="183"/>
      <c r="AI339" s="183"/>
      <c r="AJ339" s="183"/>
      <c r="AK339" s="183"/>
      <c r="AL339" s="183"/>
      <c r="AM339" s="183"/>
      <c r="AN339" s="183"/>
    </row>
    <row r="340" spans="1:40" x14ac:dyDescent="0.25">
      <c r="B340" s="12" t="s">
        <v>86</v>
      </c>
      <c r="C340" s="13" t="s">
        <v>87</v>
      </c>
      <c r="D340" s="13" t="s">
        <v>10</v>
      </c>
      <c r="E340" s="732"/>
      <c r="F340" s="733"/>
      <c r="G340" s="448">
        <f>IF(YEAR(Postup!$H$25)&gt;$D$284,Provozování!AD$85,IF(AND(DAY(Postup!$H$25)=31,MONTH(Postup!$H$25)=12,YEAR(Postup!$H$25)=$D$284),Provozování!AD$85,IF(YEAR(Postup!$H$25)=$D$284,Provozování!$BL$85,0)))</f>
        <v>0</v>
      </c>
      <c r="H340" s="449">
        <f ca="1">IF(YEAR(Postup!$H$25)&gt;$D$284,Provozování!AE$85,IF(AND(DAY(Postup!$H$25)=31,MONTH(Postup!$H$25)=12,YEAR(Postup!$H$25)=$D$284),Provozování!AE$85,IF(YEAR(Postup!$H$25)=$D$284,Provozování!$BM$85,0)))</f>
        <v>7.758654207907981E-3</v>
      </c>
      <c r="K340" s="12" t="s">
        <v>86</v>
      </c>
      <c r="L340" s="13" t="s">
        <v>87</v>
      </c>
      <c r="M340" s="13" t="s">
        <v>10</v>
      </c>
      <c r="N340" s="732"/>
      <c r="O340" s="733"/>
      <c r="P340" s="448">
        <f>IF(Provozování!$AF$16="Neaktivní",0,Provozování!AF$85)</f>
        <v>0</v>
      </c>
      <c r="Q340" s="449">
        <f>IF(Provozování!AF$16="Neaktivní",0,Provozování!AG$85)</f>
        <v>0</v>
      </c>
      <c r="T340" s="12" t="s">
        <v>86</v>
      </c>
      <c r="U340" s="13" t="s">
        <v>87</v>
      </c>
      <c r="V340" s="13" t="s">
        <v>10</v>
      </c>
      <c r="W340" s="13"/>
      <c r="X340" s="101"/>
      <c r="Y340" s="595">
        <v>0</v>
      </c>
      <c r="Z340" s="14">
        <f>IF(Provozování!$AF$16="Neaktivní",G340,G340*Výpočty!$L$58+P340)</f>
        <v>0</v>
      </c>
      <c r="AA340" s="595">
        <v>0</v>
      </c>
      <c r="AB340" s="15">
        <f ca="1">IF(Provozování!$AF$16="Neaktivní",H340,H340*Výpočty!$L$58+Q340)</f>
        <v>7.758654207907981E-3</v>
      </c>
      <c r="AC340" s="183"/>
      <c r="AD340" s="183"/>
      <c r="AE340" s="183"/>
      <c r="AF340" s="183"/>
      <c r="AG340" s="183"/>
      <c r="AH340" s="183"/>
      <c r="AI340" s="183"/>
      <c r="AJ340" s="183"/>
      <c r="AK340" s="183"/>
      <c r="AL340" s="183"/>
      <c r="AM340" s="183"/>
      <c r="AN340" s="183"/>
    </row>
    <row r="341" spans="1:40" x14ac:dyDescent="0.25">
      <c r="B341" s="12" t="s">
        <v>88</v>
      </c>
      <c r="C341" s="21" t="s">
        <v>89</v>
      </c>
      <c r="D341" s="13" t="s">
        <v>90</v>
      </c>
      <c r="E341" s="732" t="s">
        <v>123</v>
      </c>
      <c r="F341" s="733"/>
      <c r="G341" s="171">
        <f>IF(G339=0,0,G340/G339*100)</f>
        <v>0</v>
      </c>
      <c r="H341" s="172">
        <f ca="1">IF(H339=0,0,H340/H339*100)</f>
        <v>1.7633305017972687</v>
      </c>
      <c r="K341" s="12" t="s">
        <v>88</v>
      </c>
      <c r="L341" s="21" t="s">
        <v>89</v>
      </c>
      <c r="M341" s="13" t="s">
        <v>90</v>
      </c>
      <c r="N341" s="732" t="s">
        <v>123</v>
      </c>
      <c r="O341" s="733"/>
      <c r="P341" s="171">
        <f>IF(P339=0,0,P340/P339*100)</f>
        <v>0</v>
      </c>
      <c r="Q341" s="172">
        <f>IF(Q339=0,0,Q340/Q339*100)</f>
        <v>0</v>
      </c>
      <c r="T341" s="12" t="s">
        <v>88</v>
      </c>
      <c r="U341" s="21" t="s">
        <v>89</v>
      </c>
      <c r="V341" s="13" t="s">
        <v>90</v>
      </c>
      <c r="W341" s="13" t="s">
        <v>123</v>
      </c>
      <c r="X341" s="101"/>
      <c r="Y341" s="171">
        <f t="shared" ref="Y341:AB341" si="144">IF(Y339=0,0,Y340/Y339*100)</f>
        <v>0</v>
      </c>
      <c r="Z341" s="171">
        <f t="shared" si="144"/>
        <v>0</v>
      </c>
      <c r="AA341" s="171">
        <f t="shared" si="144"/>
        <v>0</v>
      </c>
      <c r="AB341" s="172">
        <f t="shared" ca="1" si="144"/>
        <v>1.7633305017972687</v>
      </c>
      <c r="AC341" s="183"/>
      <c r="AD341" s="183"/>
      <c r="AE341" s="183"/>
      <c r="AF341" s="183"/>
      <c r="AG341" s="183"/>
      <c r="AH341" s="183"/>
      <c r="AI341" s="183"/>
      <c r="AJ341" s="183"/>
      <c r="AK341" s="183"/>
      <c r="AL341" s="183"/>
      <c r="AM341" s="183"/>
      <c r="AN341" s="183"/>
    </row>
    <row r="342" spans="1:40" x14ac:dyDescent="0.25">
      <c r="B342" s="12" t="s">
        <v>91</v>
      </c>
      <c r="C342" s="21" t="s">
        <v>92</v>
      </c>
      <c r="D342" s="13" t="s">
        <v>10</v>
      </c>
      <c r="E342" s="732"/>
      <c r="F342" s="733"/>
      <c r="G342" s="411">
        <v>0</v>
      </c>
      <c r="H342" s="136">
        <v>0</v>
      </c>
      <c r="K342" s="12" t="s">
        <v>91</v>
      </c>
      <c r="L342" s="21" t="s">
        <v>92</v>
      </c>
      <c r="M342" s="13" t="s">
        <v>10</v>
      </c>
      <c r="N342" s="732"/>
      <c r="O342" s="733"/>
      <c r="P342" s="411">
        <v>0</v>
      </c>
      <c r="Q342" s="136">
        <v>0</v>
      </c>
      <c r="T342" s="12" t="s">
        <v>91</v>
      </c>
      <c r="U342" s="21" t="s">
        <v>92</v>
      </c>
      <c r="V342" s="13" t="s">
        <v>10</v>
      </c>
      <c r="W342" s="13"/>
      <c r="X342" s="101"/>
      <c r="Y342" s="445">
        <v>0</v>
      </c>
      <c r="Z342" s="445">
        <v>0</v>
      </c>
      <c r="AA342" s="445">
        <v>0</v>
      </c>
      <c r="AB342" s="442">
        <v>0</v>
      </c>
      <c r="AC342" s="183"/>
      <c r="AD342" s="183"/>
      <c r="AE342" s="183"/>
      <c r="AF342" s="183"/>
      <c r="AG342" s="183"/>
      <c r="AH342" s="183"/>
      <c r="AI342" s="183"/>
      <c r="AJ342" s="183"/>
      <c r="AK342" s="183"/>
      <c r="AL342" s="183"/>
      <c r="AM342" s="183"/>
      <c r="AN342" s="183"/>
    </row>
    <row r="343" spans="1:40" x14ac:dyDescent="0.25">
      <c r="B343" s="12" t="s">
        <v>93</v>
      </c>
      <c r="C343" s="13" t="s">
        <v>94</v>
      </c>
      <c r="D343" s="13" t="s">
        <v>10</v>
      </c>
      <c r="E343" s="732" t="s">
        <v>122</v>
      </c>
      <c r="F343" s="733"/>
      <c r="G343" s="448">
        <f>G339+G340</f>
        <v>0</v>
      </c>
      <c r="H343" s="449">
        <f ca="1">H339+H340</f>
        <v>0.44775865420790795</v>
      </c>
      <c r="K343" s="12" t="s">
        <v>93</v>
      </c>
      <c r="L343" s="13" t="s">
        <v>94</v>
      </c>
      <c r="M343" s="13" t="s">
        <v>10</v>
      </c>
      <c r="N343" s="732" t="s">
        <v>122</v>
      </c>
      <c r="O343" s="733"/>
      <c r="P343" s="448">
        <f>P339+P340</f>
        <v>0</v>
      </c>
      <c r="Q343" s="449">
        <f>Q339+Q340</f>
        <v>0</v>
      </c>
      <c r="T343" s="12" t="s">
        <v>93</v>
      </c>
      <c r="U343" s="13" t="s">
        <v>94</v>
      </c>
      <c r="V343" s="13" t="s">
        <v>10</v>
      </c>
      <c r="W343" s="13" t="s">
        <v>122</v>
      </c>
      <c r="X343" s="101"/>
      <c r="Y343" s="448">
        <f t="shared" ref="Y343:AB343" si="145">Y339+Y340</f>
        <v>0</v>
      </c>
      <c r="Z343" s="448">
        <f t="shared" si="145"/>
        <v>0</v>
      </c>
      <c r="AA343" s="448">
        <f t="shared" si="145"/>
        <v>0</v>
      </c>
      <c r="AB343" s="449">
        <f t="shared" ca="1" si="145"/>
        <v>0.44775865420790795</v>
      </c>
      <c r="AC343" s="183"/>
      <c r="AD343" s="183"/>
      <c r="AE343" s="183"/>
      <c r="AF343" s="183"/>
      <c r="AG343" s="183"/>
      <c r="AH343" s="183"/>
      <c r="AI343" s="183"/>
      <c r="AJ343" s="183"/>
      <c r="AK343" s="183"/>
      <c r="AL343" s="183"/>
      <c r="AM343" s="183"/>
      <c r="AN343" s="183"/>
    </row>
    <row r="344" spans="1:40" x14ac:dyDescent="0.25">
      <c r="B344" s="12" t="s">
        <v>95</v>
      </c>
      <c r="C344" s="13" t="s">
        <v>96</v>
      </c>
      <c r="D344" s="13" t="s">
        <v>66</v>
      </c>
      <c r="E344" s="732" t="s">
        <v>124</v>
      </c>
      <c r="F344" s="733"/>
      <c r="G344" s="448">
        <f>F325</f>
        <v>0</v>
      </c>
      <c r="H344" s="449">
        <f>H327+H329</f>
        <v>1.4E-2</v>
      </c>
      <c r="K344" s="12" t="s">
        <v>95</v>
      </c>
      <c r="L344" s="13" t="s">
        <v>96</v>
      </c>
      <c r="M344" s="13" t="s">
        <v>66</v>
      </c>
      <c r="N344" s="732" t="s">
        <v>124</v>
      </c>
      <c r="O344" s="733"/>
      <c r="P344" s="448">
        <f>O325</f>
        <v>0</v>
      </c>
      <c r="Q344" s="449">
        <f>Q327+Q329</f>
        <v>0</v>
      </c>
      <c r="T344" s="12" t="s">
        <v>95</v>
      </c>
      <c r="U344" s="13" t="s">
        <v>96</v>
      </c>
      <c r="V344" s="13" t="s">
        <v>66</v>
      </c>
      <c r="W344" s="13" t="s">
        <v>124</v>
      </c>
      <c r="X344" s="101"/>
      <c r="Y344" s="14">
        <f>W325</f>
        <v>0</v>
      </c>
      <c r="Z344" s="14">
        <f>X325</f>
        <v>0</v>
      </c>
      <c r="AA344" s="14">
        <f>Z327+Z329</f>
        <v>0</v>
      </c>
      <c r="AB344" s="15">
        <f>AA327+AA329</f>
        <v>1.4E-2</v>
      </c>
      <c r="AC344" s="183"/>
      <c r="AD344" s="183"/>
      <c r="AE344" s="183"/>
      <c r="AF344" s="183"/>
      <c r="AG344" s="183"/>
      <c r="AH344" s="183"/>
      <c r="AI344" s="183"/>
      <c r="AJ344" s="183"/>
      <c r="AK344" s="183"/>
      <c r="AL344" s="183"/>
      <c r="AM344" s="183"/>
      <c r="AN344" s="183"/>
    </row>
    <row r="345" spans="1:40" x14ac:dyDescent="0.25">
      <c r="B345" s="12" t="s">
        <v>97</v>
      </c>
      <c r="C345" s="13" t="s">
        <v>98</v>
      </c>
      <c r="D345" s="13" t="s">
        <v>83</v>
      </c>
      <c r="E345" s="732" t="s">
        <v>125</v>
      </c>
      <c r="F345" s="733"/>
      <c r="G345" s="171">
        <f>IF(G344=0,0,G343/G344)</f>
        <v>0</v>
      </c>
      <c r="H345" s="172">
        <f ca="1">IF(H344=0,0,H343/H344)</f>
        <v>31.982761014850567</v>
      </c>
      <c r="K345" s="12" t="s">
        <v>97</v>
      </c>
      <c r="L345" s="13" t="s">
        <v>98</v>
      </c>
      <c r="M345" s="13" t="s">
        <v>83</v>
      </c>
      <c r="N345" s="732" t="s">
        <v>125</v>
      </c>
      <c r="O345" s="733"/>
      <c r="P345" s="171">
        <f>IF(P344=0,0,P343/P344)</f>
        <v>0</v>
      </c>
      <c r="Q345" s="172">
        <f>IF(Q344=0,0,Q343/Q344)</f>
        <v>0</v>
      </c>
      <c r="T345" s="12" t="s">
        <v>97</v>
      </c>
      <c r="U345" s="13" t="s">
        <v>98</v>
      </c>
      <c r="V345" s="13" t="s">
        <v>83</v>
      </c>
      <c r="W345" s="13" t="s">
        <v>125</v>
      </c>
      <c r="X345" s="101"/>
      <c r="Y345" s="171">
        <f t="shared" ref="Y345:AB345" si="146">IF(Y344=0,0,Y343/Y344)</f>
        <v>0</v>
      </c>
      <c r="Z345" s="171">
        <f t="shared" si="146"/>
        <v>0</v>
      </c>
      <c r="AA345" s="171">
        <f t="shared" si="146"/>
        <v>0</v>
      </c>
      <c r="AB345" s="172">
        <f t="shared" ca="1" si="146"/>
        <v>31.982761014850567</v>
      </c>
      <c r="AC345" s="183"/>
      <c r="AD345" s="183"/>
      <c r="AE345" s="183"/>
      <c r="AF345" s="183"/>
      <c r="AG345" s="183"/>
      <c r="AH345" s="183"/>
      <c r="AI345" s="183"/>
      <c r="AJ345" s="183"/>
      <c r="AK345" s="183"/>
      <c r="AL345" s="183"/>
      <c r="AM345" s="183"/>
      <c r="AN345" s="183"/>
    </row>
    <row r="346" spans="1:40" x14ac:dyDescent="0.25">
      <c r="B346" s="12" t="s">
        <v>99</v>
      </c>
      <c r="C346" s="13" t="str">
        <f>CONCATENATE("CENA pro vodné, stočné + ",Provozování!AD$93*100,"% DPH")</f>
        <v>CENA pro vodné, stočné + 15% DPH</v>
      </c>
      <c r="D346" s="13" t="s">
        <v>83</v>
      </c>
      <c r="E346" s="732" t="s">
        <v>126</v>
      </c>
      <c r="F346" s="733"/>
      <c r="G346" s="171">
        <f>G345*(1+Provozování!AD$93)</f>
        <v>0</v>
      </c>
      <c r="H346" s="172">
        <f ca="1">H345*(1+Provozování!AE$93)</f>
        <v>36.780175167078148</v>
      </c>
      <c r="K346" s="12" t="s">
        <v>99</v>
      </c>
      <c r="L346" s="13" t="str">
        <f>C346</f>
        <v>CENA pro vodné, stočné + 15% DPH</v>
      </c>
      <c r="M346" s="13" t="s">
        <v>83</v>
      </c>
      <c r="N346" s="732" t="s">
        <v>126</v>
      </c>
      <c r="O346" s="733"/>
      <c r="P346" s="171">
        <f>P345*(1+Provozování!AD$93)</f>
        <v>0</v>
      </c>
      <c r="Q346" s="172">
        <f>Q345*(1+Provozování!AE$93)</f>
        <v>0</v>
      </c>
      <c r="T346" s="12" t="s">
        <v>99</v>
      </c>
      <c r="U346" s="13" t="str">
        <f>C346</f>
        <v>CENA pro vodné, stočné + 15% DPH</v>
      </c>
      <c r="V346" s="13" t="s">
        <v>83</v>
      </c>
      <c r="W346" s="13" t="s">
        <v>126</v>
      </c>
      <c r="X346" s="101"/>
      <c r="Y346" s="171">
        <f>Y345*(1+Provozování!AD$93)</f>
        <v>0</v>
      </c>
      <c r="Z346" s="171">
        <f>Z345*(1+Provozování!AD$93)</f>
        <v>0</v>
      </c>
      <c r="AA346" s="171">
        <f>AA345*(1+Provozování!AE$93)</f>
        <v>0</v>
      </c>
      <c r="AB346" s="172">
        <f ca="1">AB345*(1+Provozování!AE$93)</f>
        <v>36.780175167078148</v>
      </c>
      <c r="AC346" s="183"/>
      <c r="AD346" s="183"/>
      <c r="AE346" s="183"/>
      <c r="AF346" s="183"/>
      <c r="AG346" s="183"/>
      <c r="AH346" s="183"/>
      <c r="AI346" s="183"/>
      <c r="AJ346" s="183"/>
      <c r="AK346" s="183"/>
      <c r="AL346" s="183"/>
      <c r="AM346" s="183"/>
      <c r="AN346" s="183"/>
    </row>
    <row r="347" spans="1:40" x14ac:dyDescent="0.25">
      <c r="T347" s="916" t="s">
        <v>203</v>
      </c>
      <c r="U347" s="916" t="s">
        <v>202</v>
      </c>
      <c r="V347" s="744" t="s">
        <v>10</v>
      </c>
      <c r="W347" s="919" t="s">
        <v>204</v>
      </c>
      <c r="X347" s="732"/>
      <c r="Y347" s="102" t="s">
        <v>206</v>
      </c>
      <c r="Z347" s="105" t="s">
        <v>207</v>
      </c>
      <c r="AA347" s="102" t="s">
        <v>206</v>
      </c>
      <c r="AB347" s="105" t="s">
        <v>207</v>
      </c>
      <c r="AC347" s="183"/>
      <c r="AD347" s="183"/>
      <c r="AE347" s="183"/>
      <c r="AF347" s="183"/>
      <c r="AG347" s="183"/>
      <c r="AH347" s="183"/>
      <c r="AI347" s="183"/>
      <c r="AJ347" s="183"/>
      <c r="AK347" s="183"/>
      <c r="AL347" s="183"/>
      <c r="AM347" s="183"/>
      <c r="AN347" s="183"/>
    </row>
    <row r="348" spans="1:40" x14ac:dyDescent="0.25">
      <c r="B348" s="500" t="s">
        <v>354</v>
      </c>
      <c r="T348" s="917"/>
      <c r="U348" s="917"/>
      <c r="V348" s="745"/>
      <c r="W348" s="920">
        <v>0</v>
      </c>
      <c r="X348" s="921"/>
      <c r="Y348" s="103">
        <f>W284</f>
        <v>2024</v>
      </c>
      <c r="Z348" s="103">
        <f>W284</f>
        <v>2024</v>
      </c>
      <c r="AA348" s="103">
        <f>W284</f>
        <v>2024</v>
      </c>
      <c r="AB348" s="103">
        <f>W284</f>
        <v>2024</v>
      </c>
      <c r="AC348" s="183"/>
      <c r="AD348" s="183"/>
      <c r="AE348" s="183"/>
      <c r="AF348" s="183"/>
      <c r="AG348" s="183"/>
      <c r="AH348" s="183"/>
      <c r="AI348" s="183"/>
      <c r="AJ348" s="183"/>
      <c r="AK348" s="183"/>
      <c r="AL348" s="183"/>
      <c r="AM348" s="183"/>
      <c r="AN348" s="183"/>
    </row>
    <row r="349" spans="1:40" x14ac:dyDescent="0.25">
      <c r="B349" s="500" t="s">
        <v>355</v>
      </c>
      <c r="T349" s="917"/>
      <c r="U349" s="917"/>
      <c r="V349" s="745"/>
      <c r="W349" s="919" t="s">
        <v>205</v>
      </c>
      <c r="X349" s="732"/>
      <c r="Y349" s="104" t="s">
        <v>208</v>
      </c>
      <c r="Z349" s="104" t="s">
        <v>208</v>
      </c>
      <c r="AA349" s="104" t="s">
        <v>209</v>
      </c>
      <c r="AB349" s="104" t="s">
        <v>209</v>
      </c>
      <c r="AC349" s="183"/>
      <c r="AD349" s="183"/>
      <c r="AE349" s="183"/>
      <c r="AF349" s="183"/>
      <c r="AG349" s="183"/>
      <c r="AH349" s="183"/>
      <c r="AI349" s="183"/>
      <c r="AJ349" s="183"/>
      <c r="AK349" s="183"/>
      <c r="AL349" s="183"/>
      <c r="AM349" s="183"/>
      <c r="AN349" s="183"/>
    </row>
    <row r="350" spans="1:40" x14ac:dyDescent="0.25">
      <c r="T350" s="918"/>
      <c r="U350" s="918"/>
      <c r="V350" s="746"/>
      <c r="W350" s="922">
        <v>0</v>
      </c>
      <c r="X350" s="920"/>
      <c r="Y350" s="597">
        <v>0</v>
      </c>
      <c r="Z350" s="597">
        <v>0</v>
      </c>
      <c r="AA350" s="597">
        <v>0</v>
      </c>
      <c r="AB350" s="597">
        <v>0</v>
      </c>
      <c r="AC350" s="183"/>
      <c r="AD350" s="183"/>
      <c r="AE350" s="183"/>
      <c r="AF350" s="183"/>
      <c r="AG350" s="183"/>
      <c r="AH350" s="183"/>
      <c r="AI350" s="183"/>
      <c r="AJ350" s="183"/>
      <c r="AK350" s="183"/>
      <c r="AL350" s="183"/>
      <c r="AM350" s="183"/>
      <c r="AN350" s="183"/>
    </row>
    <row r="351" spans="1:40" x14ac:dyDescent="0.25">
      <c r="A351" s="342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AC351" s="183"/>
      <c r="AD351" s="183"/>
      <c r="AE351" s="183"/>
      <c r="AF351" s="183"/>
      <c r="AG351" s="183"/>
      <c r="AH351" s="183"/>
      <c r="AI351" s="183"/>
      <c r="AJ351" s="183"/>
      <c r="AK351" s="183"/>
      <c r="AL351" s="183"/>
      <c r="AM351" s="183"/>
      <c r="AN351" s="183"/>
    </row>
    <row r="352" spans="1:40" x14ac:dyDescent="0.25">
      <c r="B352" s="726" t="s">
        <v>393</v>
      </c>
      <c r="C352" s="727"/>
      <c r="D352" s="727"/>
      <c r="E352" s="727"/>
      <c r="F352" s="727"/>
      <c r="G352" s="727"/>
      <c r="H352" s="727"/>
      <c r="K352" s="726" t="s">
        <v>394</v>
      </c>
      <c r="L352" s="727"/>
      <c r="M352" s="727"/>
      <c r="N352" s="727"/>
      <c r="O352" s="727"/>
      <c r="P352" s="727"/>
      <c r="Q352" s="727"/>
      <c r="T352" s="726" t="s">
        <v>210</v>
      </c>
      <c r="U352" s="727"/>
      <c r="V352" s="727"/>
      <c r="W352" s="727"/>
      <c r="X352" s="727"/>
      <c r="Y352" s="727"/>
      <c r="Z352" s="727"/>
      <c r="AA352" s="727"/>
      <c r="AB352" s="727"/>
      <c r="AC352" s="183"/>
      <c r="AD352" s="183"/>
      <c r="AE352" s="183"/>
      <c r="AF352" s="183"/>
      <c r="AG352" s="183"/>
      <c r="AH352" s="183"/>
      <c r="AI352" s="183"/>
      <c r="AJ352" s="183"/>
      <c r="AK352" s="183"/>
      <c r="AL352" s="183"/>
      <c r="AM352" s="183"/>
      <c r="AN352" s="183"/>
    </row>
    <row r="353" spans="2:40" x14ac:dyDescent="0.25">
      <c r="C353" s="362"/>
      <c r="E353" s="25"/>
      <c r="F353" s="25"/>
      <c r="L353" s="25"/>
      <c r="N353" s="25"/>
      <c r="T353" s="950" t="s">
        <v>395</v>
      </c>
      <c r="U353" s="950"/>
      <c r="V353" s="950"/>
      <c r="W353" s="950"/>
      <c r="X353" s="950"/>
      <c r="Y353" s="950"/>
      <c r="Z353" s="950"/>
      <c r="AA353" s="950"/>
      <c r="AB353" s="950"/>
      <c r="AC353" s="183"/>
      <c r="AD353" s="183"/>
      <c r="AE353" s="183"/>
      <c r="AF353" s="183"/>
      <c r="AG353" s="183"/>
      <c r="AH353" s="183"/>
      <c r="AI353" s="183"/>
      <c r="AJ353" s="183"/>
      <c r="AK353" s="183"/>
      <c r="AL353" s="183"/>
      <c r="AM353" s="183"/>
      <c r="AN353" s="183"/>
    </row>
    <row r="354" spans="2:40" x14ac:dyDescent="0.25">
      <c r="C354" s="362" t="s">
        <v>119</v>
      </c>
      <c r="D354" s="364">
        <f>D284+1</f>
        <v>2025</v>
      </c>
      <c r="E354" s="25"/>
      <c r="F354" s="362" t="s">
        <v>278</v>
      </c>
      <c r="G354" s="365" t="str">
        <f>Výpočty!M$56</f>
        <v>-</v>
      </c>
      <c r="H354" s="365" t="str">
        <f>IF(Výpočty!M$57="-"," ",CONCATENATE("- ",DAY(Výpočty!M$57),".",MONTH(Výpočty!M$57),".",D354))</f>
        <v xml:space="preserve"> </v>
      </c>
      <c r="L354" s="362" t="s">
        <v>119</v>
      </c>
      <c r="M354" s="364">
        <f>D354</f>
        <v>2025</v>
      </c>
      <c r="O354" s="362" t="s">
        <v>278</v>
      </c>
      <c r="P354" s="475" t="str">
        <f>Výpočty!M$52</f>
        <v>-</v>
      </c>
      <c r="Q354" s="475" t="str">
        <f>IF(P354="-"," ",H354)</f>
        <v xml:space="preserve"> </v>
      </c>
      <c r="T354" s="441"/>
      <c r="U354" s="441"/>
      <c r="V354" s="451" t="s">
        <v>195</v>
      </c>
      <c r="W354" s="364">
        <f>D354</f>
        <v>2025</v>
      </c>
      <c r="Z354" s="362" t="s">
        <v>278</v>
      </c>
      <c r="AA354" s="365" t="str">
        <f>G354</f>
        <v>-</v>
      </c>
      <c r="AB354" s="365" t="str">
        <f>H354</f>
        <v xml:space="preserve"> </v>
      </c>
      <c r="AC354" s="183"/>
      <c r="AD354" s="183"/>
      <c r="AE354" s="183"/>
      <c r="AF354" s="183"/>
      <c r="AG354" s="183"/>
      <c r="AH354" s="183"/>
      <c r="AI354" s="183"/>
      <c r="AJ354" s="183"/>
      <c r="AK354" s="183"/>
      <c r="AL354" s="183"/>
      <c r="AM354" s="183"/>
      <c r="AN354" s="183"/>
    </row>
    <row r="355" spans="2:40" x14ac:dyDescent="0.25">
      <c r="B355" s="13" t="s">
        <v>74</v>
      </c>
      <c r="C355" s="13" t="s">
        <v>105</v>
      </c>
      <c r="D355" s="715" t="str">
        <f t="shared" ref="D355:D360" si="147">D285</f>
        <v/>
      </c>
      <c r="E355" s="716"/>
      <c r="F355" s="716"/>
      <c r="G355" s="716"/>
      <c r="H355" s="717"/>
      <c r="K355" s="13" t="s">
        <v>74</v>
      </c>
      <c r="L355" s="13" t="s">
        <v>105</v>
      </c>
      <c r="M355" s="949" t="str">
        <f t="shared" ref="M355:M357" si="148">D355</f>
        <v/>
      </c>
      <c r="N355" s="738"/>
      <c r="O355" s="738"/>
      <c r="P355" s="738"/>
      <c r="Q355" s="738"/>
      <c r="T355" s="13" t="s">
        <v>74</v>
      </c>
      <c r="U355" s="13" t="s">
        <v>105</v>
      </c>
      <c r="V355" s="949" t="str">
        <f t="shared" ref="V355:V357" si="149">D355</f>
        <v/>
      </c>
      <c r="W355" s="738"/>
      <c r="X355" s="738"/>
      <c r="Y355" s="738"/>
      <c r="Z355" s="738"/>
      <c r="AA355" s="738"/>
      <c r="AB355" s="738"/>
      <c r="AC355" s="183"/>
      <c r="AD355" s="183"/>
      <c r="AK355" s="183"/>
      <c r="AL355" s="183"/>
      <c r="AM355" s="183"/>
      <c r="AN355" s="183"/>
    </row>
    <row r="356" spans="2:40" x14ac:dyDescent="0.25">
      <c r="B356" s="13" t="s">
        <v>100</v>
      </c>
      <c r="C356" s="13" t="s">
        <v>106</v>
      </c>
      <c r="D356" s="715" t="str">
        <f t="shared" si="147"/>
        <v/>
      </c>
      <c r="E356" s="716"/>
      <c r="F356" s="716"/>
      <c r="G356" s="716"/>
      <c r="H356" s="717"/>
      <c r="K356" s="13" t="s">
        <v>100</v>
      </c>
      <c r="L356" s="13" t="s">
        <v>106</v>
      </c>
      <c r="M356" s="941" t="str">
        <f t="shared" si="148"/>
        <v/>
      </c>
      <c r="N356" s="942"/>
      <c r="O356" s="942"/>
      <c r="P356" s="942"/>
      <c r="Q356" s="943"/>
      <c r="T356" s="13" t="s">
        <v>100</v>
      </c>
      <c r="U356" s="13" t="s">
        <v>106</v>
      </c>
      <c r="V356" s="941" t="str">
        <f t="shared" si="149"/>
        <v/>
      </c>
      <c r="W356" s="942"/>
      <c r="X356" s="942"/>
      <c r="Y356" s="942"/>
      <c r="Z356" s="942"/>
      <c r="AA356" s="942"/>
      <c r="AB356" s="943"/>
      <c r="AC356" s="183"/>
      <c r="AD356" s="183"/>
      <c r="AK356" s="183"/>
      <c r="AL356" s="183"/>
      <c r="AM356" s="183"/>
      <c r="AN356" s="183"/>
    </row>
    <row r="357" spans="2:40" x14ac:dyDescent="0.25">
      <c r="B357" s="13" t="s">
        <v>101</v>
      </c>
      <c r="C357" s="13" t="s">
        <v>107</v>
      </c>
      <c r="D357" s="715" t="str">
        <f t="shared" si="147"/>
        <v xml:space="preserve">Město Kraslice, IČ </v>
      </c>
      <c r="E357" s="716"/>
      <c r="F357" s="716"/>
      <c r="G357" s="716"/>
      <c r="H357" s="717"/>
      <c r="K357" s="13" t="s">
        <v>101</v>
      </c>
      <c r="L357" s="13" t="s">
        <v>107</v>
      </c>
      <c r="M357" s="941" t="str">
        <f t="shared" si="148"/>
        <v xml:space="preserve">Město Kraslice, IČ </v>
      </c>
      <c r="N357" s="942"/>
      <c r="O357" s="942"/>
      <c r="P357" s="942"/>
      <c r="Q357" s="943"/>
      <c r="T357" s="13" t="s">
        <v>101</v>
      </c>
      <c r="U357" s="13" t="s">
        <v>107</v>
      </c>
      <c r="V357" s="941" t="str">
        <f t="shared" si="149"/>
        <v xml:space="preserve">Město Kraslice, IČ </v>
      </c>
      <c r="W357" s="942"/>
      <c r="X357" s="942"/>
      <c r="Y357" s="942"/>
      <c r="Z357" s="942"/>
      <c r="AA357" s="942"/>
      <c r="AB357" s="943"/>
      <c r="AC357" s="183"/>
      <c r="AD357" s="183"/>
      <c r="AK357" s="183"/>
      <c r="AL357" s="183"/>
      <c r="AM357" s="183"/>
      <c r="AN357" s="183"/>
    </row>
    <row r="358" spans="2:40" x14ac:dyDescent="0.25">
      <c r="B358" s="13" t="s">
        <v>102</v>
      </c>
      <c r="C358" s="13" t="s">
        <v>109</v>
      </c>
      <c r="D358" s="923" t="str">
        <f t="shared" si="147"/>
        <v>[vyplnit]</v>
      </c>
      <c r="E358" s="924"/>
      <c r="F358" s="924"/>
      <c r="G358" s="924"/>
      <c r="H358" s="925"/>
      <c r="K358" s="13" t="s">
        <v>102</v>
      </c>
      <c r="L358" s="13" t="s">
        <v>109</v>
      </c>
      <c r="M358" s="926" t="str">
        <f>IF($D358="[vyplnit]"," ",$D358)</f>
        <v xml:space="preserve"> </v>
      </c>
      <c r="N358" s="927"/>
      <c r="O358" s="927"/>
      <c r="P358" s="927"/>
      <c r="Q358" s="928"/>
      <c r="T358" s="13" t="s">
        <v>102</v>
      </c>
      <c r="U358" s="13" t="s">
        <v>109</v>
      </c>
      <c r="V358" s="933" t="str">
        <f>IF($D358="[vyplnit]"," ",$D358)</f>
        <v xml:space="preserve"> </v>
      </c>
      <c r="W358" s="933"/>
      <c r="X358" s="933"/>
      <c r="Y358" s="933"/>
      <c r="Z358" s="933"/>
      <c r="AA358" s="933"/>
      <c r="AB358" s="933"/>
      <c r="AC358" s="183"/>
      <c r="AD358" s="183"/>
      <c r="AK358" s="183"/>
      <c r="AL358" s="183"/>
      <c r="AM358" s="183"/>
      <c r="AN358" s="183"/>
    </row>
    <row r="359" spans="2:40" x14ac:dyDescent="0.25">
      <c r="B359" s="13" t="s">
        <v>103</v>
      </c>
      <c r="C359" s="13" t="s">
        <v>108</v>
      </c>
      <c r="D359" s="923" t="str">
        <f t="shared" si="147"/>
        <v>[vyplnit]</v>
      </c>
      <c r="E359" s="924"/>
      <c r="F359" s="924"/>
      <c r="G359" s="924"/>
      <c r="H359" s="925"/>
      <c r="K359" s="13" t="s">
        <v>103</v>
      </c>
      <c r="L359" s="13" t="s">
        <v>108</v>
      </c>
      <c r="M359" s="926" t="str">
        <f t="shared" ref="M359:M360" si="150">IF($D359="[vyplnit]"," ",$D359)</f>
        <v xml:space="preserve"> </v>
      </c>
      <c r="N359" s="927"/>
      <c r="O359" s="927"/>
      <c r="P359" s="927"/>
      <c r="Q359" s="928"/>
      <c r="T359" s="13" t="s">
        <v>103</v>
      </c>
      <c r="U359" s="13" t="s">
        <v>108</v>
      </c>
      <c r="V359" s="933" t="str">
        <f t="shared" ref="V359:V360" si="151">IF($D359="[vyplnit]"," ",$D359)</f>
        <v xml:space="preserve"> </v>
      </c>
      <c r="W359" s="933"/>
      <c r="X359" s="933"/>
      <c r="Y359" s="933"/>
      <c r="Z359" s="933"/>
      <c r="AA359" s="933"/>
      <c r="AB359" s="933"/>
      <c r="AC359" s="183"/>
      <c r="AD359" s="183"/>
      <c r="AK359" s="183"/>
      <c r="AL359" s="183"/>
      <c r="AM359" s="183"/>
      <c r="AN359" s="183"/>
    </row>
    <row r="360" spans="2:40" x14ac:dyDescent="0.25">
      <c r="B360" s="13" t="s">
        <v>104</v>
      </c>
      <c r="C360" s="13" t="s">
        <v>110</v>
      </c>
      <c r="D360" s="923" t="str">
        <f t="shared" si="147"/>
        <v>[vyplnit]</v>
      </c>
      <c r="E360" s="924"/>
      <c r="F360" s="924"/>
      <c r="G360" s="924"/>
      <c r="H360" s="925"/>
      <c r="K360" s="13" t="s">
        <v>104</v>
      </c>
      <c r="L360" s="13" t="s">
        <v>110</v>
      </c>
      <c r="M360" s="926" t="str">
        <f t="shared" si="150"/>
        <v xml:space="preserve"> </v>
      </c>
      <c r="N360" s="927"/>
      <c r="O360" s="927"/>
      <c r="P360" s="927"/>
      <c r="Q360" s="928"/>
      <c r="T360" s="13" t="s">
        <v>104</v>
      </c>
      <c r="U360" s="13" t="s">
        <v>110</v>
      </c>
      <c r="V360" s="933" t="str">
        <f t="shared" si="151"/>
        <v xml:space="preserve"> </v>
      </c>
      <c r="W360" s="933"/>
      <c r="X360" s="933"/>
      <c r="Y360" s="933"/>
      <c r="Z360" s="933"/>
      <c r="AA360" s="933"/>
      <c r="AB360" s="933"/>
      <c r="AC360" s="183"/>
      <c r="AD360" s="183"/>
      <c r="AK360" s="183"/>
      <c r="AL360" s="183"/>
      <c r="AM360" s="183"/>
      <c r="AN360" s="183"/>
    </row>
    <row r="361" spans="2:40" x14ac:dyDescent="0.25">
      <c r="AC361" s="183"/>
      <c r="AK361" s="183"/>
      <c r="AL361" s="183"/>
      <c r="AM361" s="183"/>
      <c r="AN361" s="183"/>
    </row>
    <row r="362" spans="2:40" x14ac:dyDescent="0.25">
      <c r="B362" s="932" t="s">
        <v>5</v>
      </c>
      <c r="C362" s="721" t="s">
        <v>0</v>
      </c>
      <c r="D362" s="722"/>
      <c r="E362" s="722"/>
      <c r="F362" s="722"/>
      <c r="G362" s="722"/>
      <c r="H362" s="725"/>
      <c r="K362" s="932" t="s">
        <v>5</v>
      </c>
      <c r="L362" s="721" t="s">
        <v>0</v>
      </c>
      <c r="M362" s="722"/>
      <c r="N362" s="722"/>
      <c r="O362" s="722"/>
      <c r="P362" s="722"/>
      <c r="Q362" s="725"/>
      <c r="T362" s="932" t="s">
        <v>5</v>
      </c>
      <c r="U362" s="721" t="s">
        <v>0</v>
      </c>
      <c r="V362" s="722"/>
      <c r="W362" s="722"/>
      <c r="X362" s="722"/>
      <c r="Y362" s="722"/>
      <c r="Z362" s="722"/>
      <c r="AA362" s="722"/>
      <c r="AB362" s="725"/>
      <c r="AC362" s="183"/>
      <c r="AK362" s="183"/>
      <c r="AL362" s="183"/>
      <c r="AM362" s="183"/>
      <c r="AN362" s="183"/>
    </row>
    <row r="363" spans="2:40" x14ac:dyDescent="0.25">
      <c r="B363" s="930"/>
      <c r="C363" s="932" t="s">
        <v>1</v>
      </c>
      <c r="D363" s="929" t="s">
        <v>173</v>
      </c>
      <c r="E363" s="721" t="s">
        <v>3</v>
      </c>
      <c r="F363" s="722"/>
      <c r="G363" s="721" t="s">
        <v>4</v>
      </c>
      <c r="H363" s="725"/>
      <c r="K363" s="930"/>
      <c r="L363" s="932" t="s">
        <v>1</v>
      </c>
      <c r="M363" s="929" t="s">
        <v>173</v>
      </c>
      <c r="N363" s="721" t="s">
        <v>3</v>
      </c>
      <c r="O363" s="722"/>
      <c r="P363" s="721" t="s">
        <v>4</v>
      </c>
      <c r="Q363" s="725"/>
      <c r="T363" s="930"/>
      <c r="U363" s="932" t="s">
        <v>1</v>
      </c>
      <c r="V363" s="929" t="s">
        <v>173</v>
      </c>
      <c r="W363" s="721" t="s">
        <v>3</v>
      </c>
      <c r="X363" s="722"/>
      <c r="Y363" s="722"/>
      <c r="Z363" s="721" t="s">
        <v>4</v>
      </c>
      <c r="AA363" s="722"/>
      <c r="AB363" s="725"/>
      <c r="AC363" s="183"/>
      <c r="AK363" s="183"/>
      <c r="AL363" s="183"/>
      <c r="AM363" s="183"/>
      <c r="AN363" s="183"/>
    </row>
    <row r="364" spans="2:40" x14ac:dyDescent="0.25">
      <c r="B364" s="930"/>
      <c r="C364" s="930"/>
      <c r="D364" s="930"/>
      <c r="E364" s="30">
        <f>D354-1</f>
        <v>2024</v>
      </c>
      <c r="F364" s="30">
        <f>D354</f>
        <v>2025</v>
      </c>
      <c r="G364" s="30">
        <f>D354-1</f>
        <v>2024</v>
      </c>
      <c r="H364" s="30">
        <f>D354</f>
        <v>2025</v>
      </c>
      <c r="K364" s="930"/>
      <c r="L364" s="930"/>
      <c r="M364" s="930"/>
      <c r="N364" s="30">
        <f>M354-1</f>
        <v>2024</v>
      </c>
      <c r="O364" s="30">
        <f>M354</f>
        <v>2025</v>
      </c>
      <c r="P364" s="30">
        <f>M354-1</f>
        <v>2024</v>
      </c>
      <c r="Q364" s="30">
        <f>M354</f>
        <v>2025</v>
      </c>
      <c r="T364" s="930"/>
      <c r="U364" s="930"/>
      <c r="V364" s="930"/>
      <c r="W364" s="30">
        <f>W354</f>
        <v>2025</v>
      </c>
      <c r="X364" s="30">
        <f>W354</f>
        <v>2025</v>
      </c>
      <c r="Y364" s="30">
        <f>W354</f>
        <v>2025</v>
      </c>
      <c r="Z364" s="30">
        <f>W354</f>
        <v>2025</v>
      </c>
      <c r="AA364" s="30">
        <f>W354</f>
        <v>2025</v>
      </c>
      <c r="AB364" s="30">
        <f>W354</f>
        <v>2025</v>
      </c>
      <c r="AC364" s="183"/>
      <c r="AK364" s="183"/>
      <c r="AL364" s="183"/>
      <c r="AM364" s="183"/>
      <c r="AN364" s="183"/>
    </row>
    <row r="365" spans="2:40" x14ac:dyDescent="0.25">
      <c r="B365" s="931"/>
      <c r="C365" s="931"/>
      <c r="D365" s="931"/>
      <c r="E365" s="7" t="s">
        <v>199</v>
      </c>
      <c r="F365" s="7" t="s">
        <v>114</v>
      </c>
      <c r="G365" s="7" t="s">
        <v>199</v>
      </c>
      <c r="H365" s="19" t="s">
        <v>114</v>
      </c>
      <c r="K365" s="931"/>
      <c r="L365" s="931"/>
      <c r="M365" s="931"/>
      <c r="N365" s="7" t="s">
        <v>199</v>
      </c>
      <c r="O365" s="7" t="s">
        <v>114</v>
      </c>
      <c r="P365" s="7" t="s">
        <v>199</v>
      </c>
      <c r="Q365" s="19" t="s">
        <v>114</v>
      </c>
      <c r="T365" s="931"/>
      <c r="U365" s="931"/>
      <c r="V365" s="931"/>
      <c r="W365" s="7" t="s">
        <v>198</v>
      </c>
      <c r="X365" s="7" t="s">
        <v>114</v>
      </c>
      <c r="Y365" s="7" t="s">
        <v>197</v>
      </c>
      <c r="Z365" s="7" t="s">
        <v>198</v>
      </c>
      <c r="AA365" s="7" t="s">
        <v>114</v>
      </c>
      <c r="AB365" s="19" t="s">
        <v>197</v>
      </c>
      <c r="AC365" s="183"/>
      <c r="AK365" s="183"/>
      <c r="AL365" s="183"/>
      <c r="AM365" s="183"/>
      <c r="AN365" s="183"/>
    </row>
    <row r="366" spans="2:40" x14ac:dyDescent="0.25">
      <c r="B366" s="11">
        <v>1</v>
      </c>
      <c r="C366" s="11">
        <v>2</v>
      </c>
      <c r="D366" s="11" t="s">
        <v>111</v>
      </c>
      <c r="E366" s="11">
        <v>3</v>
      </c>
      <c r="F366" s="11">
        <v>4</v>
      </c>
      <c r="G366" s="11">
        <v>6</v>
      </c>
      <c r="H366" s="22">
        <v>7</v>
      </c>
      <c r="K366" s="11">
        <v>1</v>
      </c>
      <c r="L366" s="11">
        <v>2</v>
      </c>
      <c r="M366" s="11" t="s">
        <v>111</v>
      </c>
      <c r="N366" s="11">
        <v>3</v>
      </c>
      <c r="O366" s="11">
        <v>4</v>
      </c>
      <c r="P366" s="11">
        <v>6</v>
      </c>
      <c r="Q366" s="22">
        <v>7</v>
      </c>
      <c r="T366" s="11">
        <v>1</v>
      </c>
      <c r="U366" s="11">
        <v>2</v>
      </c>
      <c r="V366" s="11" t="s">
        <v>111</v>
      </c>
      <c r="W366" s="11">
        <v>3</v>
      </c>
      <c r="X366" s="11">
        <v>4</v>
      </c>
      <c r="Y366" s="11">
        <v>5</v>
      </c>
      <c r="Z366" s="11">
        <v>6</v>
      </c>
      <c r="AA366" s="11">
        <v>7</v>
      </c>
      <c r="AB366" s="22">
        <v>8</v>
      </c>
      <c r="AC366" s="183"/>
      <c r="AK366" s="183"/>
      <c r="AL366" s="183"/>
      <c r="AM366" s="183"/>
      <c r="AN366" s="183"/>
    </row>
    <row r="367" spans="2:40" x14ac:dyDescent="0.25">
      <c r="B367" s="9" t="s">
        <v>8</v>
      </c>
      <c r="C367" s="10" t="s">
        <v>9</v>
      </c>
      <c r="D367" s="11" t="s">
        <v>10</v>
      </c>
      <c r="E367" s="46">
        <f>SUM(E368:E371)</f>
        <v>0</v>
      </c>
      <c r="F367" s="46">
        <f>SUM(F368:F371)</f>
        <v>0</v>
      </c>
      <c r="G367" s="46">
        <f>SUM(G368:G371)</f>
        <v>0</v>
      </c>
      <c r="H367" s="98">
        <f>SUM(H368:H371)</f>
        <v>0</v>
      </c>
      <c r="K367" s="9" t="s">
        <v>8</v>
      </c>
      <c r="L367" s="10" t="s">
        <v>9</v>
      </c>
      <c r="M367" s="11" t="s">
        <v>10</v>
      </c>
      <c r="N367" s="46">
        <f>SUM(N368:N371)</f>
        <v>0</v>
      </c>
      <c r="O367" s="46">
        <f>SUM(O368:O371)</f>
        <v>0</v>
      </c>
      <c r="P367" s="46">
        <f>SUM(P368:P371)</f>
        <v>0</v>
      </c>
      <c r="Q367" s="98">
        <f>SUM(Q368:Q371)</f>
        <v>0</v>
      </c>
      <c r="T367" s="9" t="s">
        <v>8</v>
      </c>
      <c r="U367" s="10" t="s">
        <v>9</v>
      </c>
      <c r="V367" s="11" t="s">
        <v>10</v>
      </c>
      <c r="W367" s="98">
        <f t="shared" ref="W367:AB367" si="152">SUM(W368:W371)</f>
        <v>0</v>
      </c>
      <c r="X367" s="98">
        <f t="shared" si="152"/>
        <v>0</v>
      </c>
      <c r="Y367" s="98">
        <f t="shared" si="152"/>
        <v>0</v>
      </c>
      <c r="Z367" s="98">
        <f t="shared" si="152"/>
        <v>0</v>
      </c>
      <c r="AA367" s="98">
        <f t="shared" si="152"/>
        <v>0</v>
      </c>
      <c r="AB367" s="98">
        <f t="shared" si="152"/>
        <v>0</v>
      </c>
      <c r="AC367" s="183"/>
      <c r="AK367" s="183"/>
      <c r="AL367" s="183"/>
      <c r="AM367" s="183"/>
      <c r="AN367" s="183"/>
    </row>
    <row r="368" spans="2:40" x14ac:dyDescent="0.25">
      <c r="B368" s="12" t="s">
        <v>11</v>
      </c>
      <c r="C368" s="13" t="s">
        <v>12</v>
      </c>
      <c r="D368" s="3" t="s">
        <v>10</v>
      </c>
      <c r="E368" s="49">
        <v>0</v>
      </c>
      <c r="F368" s="49">
        <f>IF(YEAR(Postup!$H$25)&gt;$D$354,Provozování!AI23,IF(AND(DAY(Postup!$H$25)=31,MONTH(Postup!$H$25)=12,YEAR(Postup!$H$25)=$D$354),Provozování!AI23,IF(YEAR(Postup!$H$25)=$D$354,Provozování!$BL23,0)))</f>
        <v>0</v>
      </c>
      <c r="G368" s="49">
        <v>0</v>
      </c>
      <c r="H368" s="442">
        <v>0</v>
      </c>
      <c r="K368" s="12" t="s">
        <v>11</v>
      </c>
      <c r="L368" s="13" t="s">
        <v>12</v>
      </c>
      <c r="M368" s="3" t="s">
        <v>10</v>
      </c>
      <c r="N368" s="49">
        <v>0</v>
      </c>
      <c r="O368" s="49">
        <f>IF(Provozování!$AK$16="Neaktivní",0,Provozování!AK23)</f>
        <v>0</v>
      </c>
      <c r="P368" s="49">
        <v>0</v>
      </c>
      <c r="Q368" s="442">
        <v>0</v>
      </c>
      <c r="T368" s="12" t="s">
        <v>11</v>
      </c>
      <c r="U368" s="13" t="s">
        <v>12</v>
      </c>
      <c r="V368" s="3" t="s">
        <v>10</v>
      </c>
      <c r="W368" s="595">
        <v>0</v>
      </c>
      <c r="X368" s="49">
        <f>IF(Provozování!$AK$16="Neaktivní",F368,F368*Výpočty!$M$58+O368)</f>
        <v>0</v>
      </c>
      <c r="Y368" s="49">
        <f>W368-X368</f>
        <v>0</v>
      </c>
      <c r="Z368" s="445">
        <v>0</v>
      </c>
      <c r="AA368" s="445">
        <v>0</v>
      </c>
      <c r="AB368" s="442">
        <v>0</v>
      </c>
      <c r="AC368" s="183"/>
      <c r="AK368" s="183"/>
      <c r="AL368" s="183"/>
      <c r="AM368" s="183"/>
      <c r="AN368" s="183"/>
    </row>
    <row r="369" spans="2:40" x14ac:dyDescent="0.25">
      <c r="B369" s="12" t="s">
        <v>13</v>
      </c>
      <c r="C369" s="12" t="s">
        <v>14</v>
      </c>
      <c r="D369" s="3" t="s">
        <v>10</v>
      </c>
      <c r="E369" s="58">
        <v>0</v>
      </c>
      <c r="F369" s="49">
        <f>IF(YEAR(Postup!$H$25)&gt;$D$354,Provozování!AI24,IF(AND(DAY(Postup!$H$25)=31,MONTH(Postup!$H$25)=12,YEAR(Postup!$H$25)=$D$354),Provozování!AI24,IF(YEAR(Postup!$H$25)=$D$354,Provozování!$BL24,0)))</f>
        <v>0</v>
      </c>
      <c r="G369" s="58">
        <v>0</v>
      </c>
      <c r="H369" s="32">
        <f>IF(YEAR(Postup!$H$25)&gt;$D$354,Provozování!AJ24,IF(AND(DAY(Postup!$H$25)=31,MONTH(Postup!$H$25)=12,YEAR(Postup!$H$25)=$D$354),Provozování!AJ24,IF(YEAR(Postup!$H$25)=$D$354,Provozování!$BM24,0)))</f>
        <v>0</v>
      </c>
      <c r="K369" s="12" t="s">
        <v>13</v>
      </c>
      <c r="L369" s="12" t="s">
        <v>14</v>
      </c>
      <c r="M369" s="3" t="s">
        <v>10</v>
      </c>
      <c r="N369" s="58">
        <v>0</v>
      </c>
      <c r="O369" s="49">
        <f>IF(Provozování!$AK$16="Neaktivní",0,Provozování!AK24)</f>
        <v>0</v>
      </c>
      <c r="P369" s="58">
        <v>0</v>
      </c>
      <c r="Q369" s="59">
        <f>IF(Provozování!$AK$16="Neaktivní",0,Provozování!AL24)</f>
        <v>0</v>
      </c>
      <c r="T369" s="12" t="s">
        <v>13</v>
      </c>
      <c r="U369" s="12" t="s">
        <v>14</v>
      </c>
      <c r="V369" s="3" t="s">
        <v>10</v>
      </c>
      <c r="W369" s="596">
        <v>0</v>
      </c>
      <c r="X369" s="49">
        <f>IF(Provozování!$AK$16="Neaktivní",F369,F369*Výpočty!$M$58+O369)</f>
        <v>0</v>
      </c>
      <c r="Y369" s="49">
        <f t="shared" ref="Y369:Y371" si="153">W369-X369</f>
        <v>0</v>
      </c>
      <c r="Z369" s="596">
        <v>0</v>
      </c>
      <c r="AA369" s="49">
        <f>IF(Provozování!$AK$16="Neaktivní",H369,H369*Výpočty!$M$58+Q369)</f>
        <v>0</v>
      </c>
      <c r="AB369" s="32">
        <f t="shared" ref="AB369:AB371" si="154">Z369-AA369</f>
        <v>0</v>
      </c>
      <c r="AC369" s="183"/>
      <c r="AK369" s="183"/>
      <c r="AL369" s="183"/>
      <c r="AM369" s="183"/>
      <c r="AN369" s="183"/>
    </row>
    <row r="370" spans="2:40" x14ac:dyDescent="0.25">
      <c r="B370" s="12" t="s">
        <v>15</v>
      </c>
      <c r="C370" s="13" t="s">
        <v>16</v>
      </c>
      <c r="D370" s="3" t="s">
        <v>10</v>
      </c>
      <c r="E370" s="32">
        <v>0</v>
      </c>
      <c r="F370" s="590">
        <f>IF(YEAR(Postup!$H$25)&gt;$D$354,Provozování!AI25,IF(AND(DAY(Postup!$H$25)=31,MONTH(Postup!$H$25)=12,YEAR(Postup!$H$25)=$D$354),Provozování!AI25,IF(YEAR(Postup!$H$25)=$D$354,Provozování!$BL25,0)))</f>
        <v>0</v>
      </c>
      <c r="G370" s="32">
        <v>0</v>
      </c>
      <c r="H370" s="590">
        <f>IF(YEAR(Postup!$H$25)&gt;$D$354,Provozování!AJ25,IF(AND(DAY(Postup!$H$25)=31,MONTH(Postup!$H$25)=12,YEAR(Postup!$H$25)=$D$354),Provozování!AJ25,IF(YEAR(Postup!$H$25)=$D$354,Provozování!$BM25,0)))</f>
        <v>0</v>
      </c>
      <c r="K370" s="12" t="s">
        <v>15</v>
      </c>
      <c r="L370" s="13" t="s">
        <v>16</v>
      </c>
      <c r="M370" s="3" t="s">
        <v>10</v>
      </c>
      <c r="N370" s="32">
        <v>0</v>
      </c>
      <c r="O370" s="443">
        <f>IF(Provozování!$AK$16="Neaktivní",0,Provozování!AK25)</f>
        <v>0</v>
      </c>
      <c r="P370" s="32">
        <v>0</v>
      </c>
      <c r="Q370" s="443">
        <f>IF(Provozování!$AK$16="Neaktivní",0,Provozování!AL25)</f>
        <v>0</v>
      </c>
      <c r="T370" s="12" t="s">
        <v>15</v>
      </c>
      <c r="U370" s="13" t="s">
        <v>16</v>
      </c>
      <c r="V370" s="3" t="s">
        <v>10</v>
      </c>
      <c r="W370" s="597">
        <v>0</v>
      </c>
      <c r="X370" s="49">
        <f>IF(Provozování!$AK$16="Neaktivní",F370,F370*Výpočty!$M$58+O370)</f>
        <v>0</v>
      </c>
      <c r="Y370" s="49">
        <f t="shared" si="153"/>
        <v>0</v>
      </c>
      <c r="Z370" s="597">
        <v>0</v>
      </c>
      <c r="AA370" s="49">
        <f>IF(Provozování!$AK$16="Neaktivní",H370,H370*Výpočty!$M$58+Q370)</f>
        <v>0</v>
      </c>
      <c r="AB370" s="32">
        <f t="shared" si="154"/>
        <v>0</v>
      </c>
      <c r="AC370" s="183"/>
      <c r="AK370" s="183"/>
      <c r="AL370" s="183"/>
      <c r="AM370" s="183"/>
      <c r="AN370" s="183"/>
    </row>
    <row r="371" spans="2:40" x14ac:dyDescent="0.25">
      <c r="B371" s="12" t="s">
        <v>17</v>
      </c>
      <c r="C371" s="13" t="s">
        <v>18</v>
      </c>
      <c r="D371" s="3" t="s">
        <v>10</v>
      </c>
      <c r="E371" s="99">
        <v>0</v>
      </c>
      <c r="F371" s="590">
        <f>IF(YEAR(Postup!$H$25)&gt;$D$354,Provozování!AI26,IF(AND(DAY(Postup!$H$25)=31,MONTH(Postup!$H$25)=12,YEAR(Postup!$H$25)=$D$354),Provozování!AI26,IF(YEAR(Postup!$H$25)=$D$354,Provozování!$BL26,0)))</f>
        <v>0</v>
      </c>
      <c r="G371" s="99">
        <v>0</v>
      </c>
      <c r="H371" s="590">
        <f>IF(YEAR(Postup!$H$25)&gt;$D$354,Provozování!AJ26,IF(AND(DAY(Postup!$H$25)=31,MONTH(Postup!$H$25)=12,YEAR(Postup!$H$25)=$D$354),Provozování!AJ26,IF(YEAR(Postup!$H$25)=$D$354,Provozování!$BM26,0)))</f>
        <v>0</v>
      </c>
      <c r="K371" s="12" t="s">
        <v>17</v>
      </c>
      <c r="L371" s="13" t="s">
        <v>18</v>
      </c>
      <c r="M371" s="3" t="s">
        <v>10</v>
      </c>
      <c r="N371" s="99">
        <v>0</v>
      </c>
      <c r="O371" s="443">
        <f>IF(Provozování!$AK$16="Neaktivní",0,Provozování!AK26)</f>
        <v>0</v>
      </c>
      <c r="P371" s="99">
        <v>0</v>
      </c>
      <c r="Q371" s="443">
        <f>IF(Provozování!$AK$16="Neaktivní",0,Provozování!AL26)</f>
        <v>0</v>
      </c>
      <c r="T371" s="12" t="s">
        <v>17</v>
      </c>
      <c r="U371" s="13" t="s">
        <v>18</v>
      </c>
      <c r="V371" s="3" t="s">
        <v>10</v>
      </c>
      <c r="W371" s="598">
        <v>0</v>
      </c>
      <c r="X371" s="49">
        <f>IF(Provozování!$AK$16="Neaktivní",F371,F371*Výpočty!$M$58+O371)</f>
        <v>0</v>
      </c>
      <c r="Y371" s="49">
        <f t="shared" si="153"/>
        <v>0</v>
      </c>
      <c r="Z371" s="598">
        <v>0</v>
      </c>
      <c r="AA371" s="49">
        <f>IF(Provozování!$AK$16="Neaktivní",H371,H371*Výpočty!$M$58+Q371)</f>
        <v>0</v>
      </c>
      <c r="AB371" s="32">
        <f t="shared" si="154"/>
        <v>0</v>
      </c>
      <c r="AC371" s="183"/>
      <c r="AK371" s="183"/>
      <c r="AL371" s="183"/>
      <c r="AM371" s="183"/>
      <c r="AN371" s="183"/>
    </row>
    <row r="372" spans="2:40" x14ac:dyDescent="0.25">
      <c r="B372" s="9" t="s">
        <v>19</v>
      </c>
      <c r="C372" s="10" t="s">
        <v>20</v>
      </c>
      <c r="D372" s="11" t="s">
        <v>10</v>
      </c>
      <c r="E372" s="100">
        <f>SUM(E373:E374)</f>
        <v>0</v>
      </c>
      <c r="F372" s="100">
        <f>SUM(F373:F374)</f>
        <v>0</v>
      </c>
      <c r="G372" s="100">
        <f>SUM(G373:G374)</f>
        <v>0</v>
      </c>
      <c r="H372" s="98">
        <f>SUM(H373:H374)</f>
        <v>0</v>
      </c>
      <c r="K372" s="9" t="s">
        <v>19</v>
      </c>
      <c r="L372" s="10" t="s">
        <v>20</v>
      </c>
      <c r="M372" s="11" t="s">
        <v>10</v>
      </c>
      <c r="N372" s="100">
        <f>SUM(N373:N374)</f>
        <v>0</v>
      </c>
      <c r="O372" s="100">
        <f>SUM(O373:O374)</f>
        <v>0</v>
      </c>
      <c r="P372" s="100">
        <f>SUM(P373:P374)</f>
        <v>0</v>
      </c>
      <c r="Q372" s="98">
        <f>SUM(Q373:Q374)</f>
        <v>0</v>
      </c>
      <c r="T372" s="9" t="s">
        <v>19</v>
      </c>
      <c r="U372" s="10" t="s">
        <v>20</v>
      </c>
      <c r="V372" s="11" t="s">
        <v>10</v>
      </c>
      <c r="W372" s="98">
        <f t="shared" ref="W372:AB372" si="155">SUM(W373:W374)</f>
        <v>0</v>
      </c>
      <c r="X372" s="98">
        <f t="shared" si="155"/>
        <v>0</v>
      </c>
      <c r="Y372" s="98">
        <f t="shared" si="155"/>
        <v>0</v>
      </c>
      <c r="Z372" s="98">
        <f t="shared" si="155"/>
        <v>0</v>
      </c>
      <c r="AA372" s="98">
        <f t="shared" si="155"/>
        <v>0</v>
      </c>
      <c r="AB372" s="98">
        <f t="shared" si="155"/>
        <v>0</v>
      </c>
      <c r="AC372" s="183"/>
      <c r="AK372" s="183"/>
      <c r="AL372" s="183"/>
      <c r="AM372" s="183"/>
      <c r="AN372" s="183"/>
    </row>
    <row r="373" spans="2:40" x14ac:dyDescent="0.25">
      <c r="B373" s="12" t="s">
        <v>21</v>
      </c>
      <c r="C373" s="12" t="s">
        <v>22</v>
      </c>
      <c r="D373" s="3" t="s">
        <v>10</v>
      </c>
      <c r="E373" s="32">
        <v>0</v>
      </c>
      <c r="F373" s="590">
        <f>IF(YEAR(Postup!$H$25)&gt;$D$354,Provozování!AI28,IF(AND(DAY(Postup!$H$25)=31,MONTH(Postup!$H$25)=12,YEAR(Postup!$H$25)=$D$354),Provozování!AI28,IF(YEAR(Postup!$H$25)=$D$354,Provozování!$BL28,0)))</f>
        <v>0</v>
      </c>
      <c r="G373" s="32">
        <v>0</v>
      </c>
      <c r="H373" s="590">
        <f>IF(YEAR(Postup!$H$25)&gt;$D$354,Provozování!AJ28,IF(AND(DAY(Postup!$H$25)=31,MONTH(Postup!$H$25)=12,YEAR(Postup!$H$25)=$D$354),Provozování!AJ28,IF(YEAR(Postup!$H$25)=$D$354,Provozování!$BM28,0)))</f>
        <v>0</v>
      </c>
      <c r="K373" s="12" t="s">
        <v>21</v>
      </c>
      <c r="L373" s="12" t="s">
        <v>22</v>
      </c>
      <c r="M373" s="3" t="s">
        <v>10</v>
      </c>
      <c r="N373" s="32">
        <v>0</v>
      </c>
      <c r="O373" s="443">
        <f>IF(Provozování!$AK$16="Neaktivní",0,Provozování!AK28)</f>
        <v>0</v>
      </c>
      <c r="P373" s="32">
        <v>0</v>
      </c>
      <c r="Q373" s="443">
        <f>IF(Provozování!$AK$16="Neaktivní",0,Provozování!AL28)</f>
        <v>0</v>
      </c>
      <c r="T373" s="12" t="s">
        <v>21</v>
      </c>
      <c r="U373" s="12" t="s">
        <v>22</v>
      </c>
      <c r="V373" s="3" t="s">
        <v>10</v>
      </c>
      <c r="W373" s="595">
        <v>0</v>
      </c>
      <c r="X373" s="49">
        <f>IF(Provozování!$AK$16="Neaktivní",F373,F373*Výpočty!$M$58+O373)</f>
        <v>0</v>
      </c>
      <c r="Y373" s="49">
        <f t="shared" ref="Y373:Y374" si="156">W373-X373</f>
        <v>0</v>
      </c>
      <c r="Z373" s="597">
        <v>0</v>
      </c>
      <c r="AA373" s="49">
        <f>IF(Provozování!$AK$16="Neaktivní",H373,H373*Výpočty!$M$58+Q373)</f>
        <v>0</v>
      </c>
      <c r="AB373" s="32">
        <f t="shared" ref="AB373:AB374" si="157">Z373-AA373</f>
        <v>0</v>
      </c>
      <c r="AC373" s="183"/>
      <c r="AK373" s="183"/>
      <c r="AL373" s="183"/>
      <c r="AM373" s="183"/>
      <c r="AN373" s="183"/>
    </row>
    <row r="374" spans="2:40" x14ac:dyDescent="0.25">
      <c r="B374" s="12" t="s">
        <v>23</v>
      </c>
      <c r="C374" s="12" t="s">
        <v>24</v>
      </c>
      <c r="D374" s="3" t="s">
        <v>10</v>
      </c>
      <c r="E374" s="99">
        <v>0</v>
      </c>
      <c r="F374" s="590">
        <f>IF(YEAR(Postup!$H$25)&gt;$D$354,Provozování!AI29,IF(AND(DAY(Postup!$H$25)=31,MONTH(Postup!$H$25)=12,YEAR(Postup!$H$25)=$D$354),Provozování!AI29,IF(YEAR(Postup!$H$25)=$D$354,Provozování!$BL29,0)))</f>
        <v>0</v>
      </c>
      <c r="G374" s="99">
        <v>0</v>
      </c>
      <c r="H374" s="590">
        <f>IF(YEAR(Postup!$H$25)&gt;$D$354,Provozování!AJ29,IF(AND(DAY(Postup!$H$25)=31,MONTH(Postup!$H$25)=12,YEAR(Postup!$H$25)=$D$354),Provozování!AJ29,IF(YEAR(Postup!$H$25)=$D$354,Provozování!$BM29,0)))</f>
        <v>0</v>
      </c>
      <c r="K374" s="12" t="s">
        <v>23</v>
      </c>
      <c r="L374" s="12" t="s">
        <v>24</v>
      </c>
      <c r="M374" s="3" t="s">
        <v>10</v>
      </c>
      <c r="N374" s="99">
        <v>0</v>
      </c>
      <c r="O374" s="443">
        <f>IF(Provozování!$AK$16="Neaktivní",0,Provozování!AK29)</f>
        <v>0</v>
      </c>
      <c r="P374" s="99">
        <v>0</v>
      </c>
      <c r="Q374" s="443">
        <f>IF(Provozování!$AK$16="Neaktivní",0,Provozování!AL29)</f>
        <v>0</v>
      </c>
      <c r="T374" s="12" t="s">
        <v>23</v>
      </c>
      <c r="U374" s="12" t="s">
        <v>24</v>
      </c>
      <c r="V374" s="3" t="s">
        <v>10</v>
      </c>
      <c r="W374" s="596">
        <v>0</v>
      </c>
      <c r="X374" s="49">
        <f>IF(Provozování!$AK$16="Neaktivní",F374,F374*Výpočty!$M$58+O374)</f>
        <v>0</v>
      </c>
      <c r="Y374" s="49">
        <f t="shared" si="156"/>
        <v>0</v>
      </c>
      <c r="Z374" s="598">
        <v>0</v>
      </c>
      <c r="AA374" s="49">
        <f>IF(Provozování!$AK$16="Neaktivní",H374,H374*Výpočty!$M$58+Q374)</f>
        <v>0</v>
      </c>
      <c r="AB374" s="32">
        <f t="shared" si="157"/>
        <v>0</v>
      </c>
      <c r="AC374" s="183"/>
      <c r="AK374" s="183"/>
      <c r="AL374" s="183"/>
      <c r="AM374" s="183"/>
      <c r="AN374" s="183"/>
    </row>
    <row r="375" spans="2:40" x14ac:dyDescent="0.25">
      <c r="B375" s="9" t="s">
        <v>25</v>
      </c>
      <c r="C375" s="10" t="s">
        <v>26</v>
      </c>
      <c r="D375" s="11" t="s">
        <v>10</v>
      </c>
      <c r="E375" s="46">
        <f>SUM(E376:E377)</f>
        <v>0</v>
      </c>
      <c r="F375" s="46">
        <f>SUM(F376:F377)</f>
        <v>0</v>
      </c>
      <c r="G375" s="46">
        <f>SUM(G376:G377)</f>
        <v>0</v>
      </c>
      <c r="H375" s="98">
        <f>SUM(H376:H377)</f>
        <v>0</v>
      </c>
      <c r="K375" s="9" t="s">
        <v>25</v>
      </c>
      <c r="L375" s="10" t="s">
        <v>26</v>
      </c>
      <c r="M375" s="11" t="s">
        <v>10</v>
      </c>
      <c r="N375" s="46">
        <f>SUM(N376:N377)</f>
        <v>0</v>
      </c>
      <c r="O375" s="46">
        <f>SUM(O376:O377)</f>
        <v>0</v>
      </c>
      <c r="P375" s="46">
        <f>SUM(P376:P377)</f>
        <v>0</v>
      </c>
      <c r="Q375" s="98">
        <f>SUM(Q376:Q377)</f>
        <v>0</v>
      </c>
      <c r="T375" s="9" t="s">
        <v>25</v>
      </c>
      <c r="U375" s="10" t="s">
        <v>26</v>
      </c>
      <c r="V375" s="11" t="s">
        <v>10</v>
      </c>
      <c r="W375" s="98">
        <f t="shared" ref="W375:AB375" si="158">SUM(W376:W377)</f>
        <v>0</v>
      </c>
      <c r="X375" s="98">
        <f t="shared" si="158"/>
        <v>0</v>
      </c>
      <c r="Y375" s="98">
        <f t="shared" si="158"/>
        <v>0</v>
      </c>
      <c r="Z375" s="98">
        <f t="shared" si="158"/>
        <v>0</v>
      </c>
      <c r="AA375" s="98">
        <f t="shared" si="158"/>
        <v>0</v>
      </c>
      <c r="AB375" s="98">
        <f t="shared" si="158"/>
        <v>0</v>
      </c>
      <c r="AC375" s="183"/>
      <c r="AD375" s="183"/>
      <c r="AK375" s="183"/>
      <c r="AL375" s="183"/>
      <c r="AM375" s="183"/>
      <c r="AN375" s="183"/>
    </row>
    <row r="376" spans="2:40" x14ac:dyDescent="0.25">
      <c r="B376" s="12" t="s">
        <v>27</v>
      </c>
      <c r="C376" s="13" t="s">
        <v>28</v>
      </c>
      <c r="D376" s="3" t="s">
        <v>10</v>
      </c>
      <c r="E376" s="49">
        <v>0</v>
      </c>
      <c r="F376" s="590">
        <f>IF(YEAR(Postup!$H$25)&gt;$D$354,Provozování!AI31,IF(AND(DAY(Postup!$H$25)=31,MONTH(Postup!$H$25)=12,YEAR(Postup!$H$25)=$D$354),Provozování!AI31,IF(YEAR(Postup!$H$25)=$D$354,Provozování!$BL31,0)))</f>
        <v>0</v>
      </c>
      <c r="G376" s="49">
        <v>0</v>
      </c>
      <c r="H376" s="590">
        <f>IF(YEAR(Postup!$H$25)&gt;$D$354,Provozování!AJ31,IF(AND(DAY(Postup!$H$25)=31,MONTH(Postup!$H$25)=12,YEAR(Postup!$H$25)=$D$354),Provozování!AJ31,IF(YEAR(Postup!$H$25)=$D$354,Provozování!$BM31,0)))</f>
        <v>0</v>
      </c>
      <c r="K376" s="12" t="s">
        <v>27</v>
      </c>
      <c r="L376" s="13" t="s">
        <v>28</v>
      </c>
      <c r="M376" s="3" t="s">
        <v>10</v>
      </c>
      <c r="N376" s="49">
        <v>0</v>
      </c>
      <c r="O376" s="443">
        <f>IF(Provozování!$AK$16="Neaktivní",0,Provozování!AK31)</f>
        <v>0</v>
      </c>
      <c r="P376" s="49">
        <v>0</v>
      </c>
      <c r="Q376" s="443">
        <f>IF(Provozování!$AK$16="Neaktivní",0,Provozování!AL31)</f>
        <v>0</v>
      </c>
      <c r="T376" s="12" t="s">
        <v>27</v>
      </c>
      <c r="U376" s="13" t="s">
        <v>28</v>
      </c>
      <c r="V376" s="3" t="s">
        <v>10</v>
      </c>
      <c r="W376" s="595">
        <v>0</v>
      </c>
      <c r="X376" s="49">
        <f>IF(Provozování!$AK$16="Neaktivní",F376,F376*Výpočty!$M$58+O376)</f>
        <v>0</v>
      </c>
      <c r="Y376" s="49">
        <f t="shared" ref="Y376:Y377" si="159">W376-X376</f>
        <v>0</v>
      </c>
      <c r="Z376" s="595">
        <v>0</v>
      </c>
      <c r="AA376" s="49">
        <f>IF(Provozování!$AK$16="Neaktivní",H376,H376*Výpočty!$M$58+Q376)</f>
        <v>0</v>
      </c>
      <c r="AB376" s="32">
        <f t="shared" ref="AB376:AB377" si="160">Z376-AA376</f>
        <v>0</v>
      </c>
      <c r="AC376" s="183"/>
      <c r="AD376" s="183"/>
      <c r="AK376" s="183"/>
      <c r="AL376" s="183"/>
      <c r="AM376" s="183"/>
      <c r="AN376" s="183"/>
    </row>
    <row r="377" spans="2:40" x14ac:dyDescent="0.25">
      <c r="B377" s="12" t="s">
        <v>29</v>
      </c>
      <c r="C377" s="13" t="s">
        <v>30</v>
      </c>
      <c r="D377" s="3" t="s">
        <v>10</v>
      </c>
      <c r="E377" s="49">
        <v>0</v>
      </c>
      <c r="F377" s="590">
        <f>IF(YEAR(Postup!$H$25)&gt;$D$354,Provozování!AI32,IF(AND(DAY(Postup!$H$25)=31,MONTH(Postup!$H$25)=12,YEAR(Postup!$H$25)=$D$354),Provozování!AI32,IF(YEAR(Postup!$H$25)=$D$354,Provozování!$BL32,0)))</f>
        <v>0</v>
      </c>
      <c r="G377" s="49">
        <v>0</v>
      </c>
      <c r="H377" s="590">
        <f>IF(YEAR(Postup!$H$25)&gt;$D$354,Provozování!AJ32,IF(AND(DAY(Postup!$H$25)=31,MONTH(Postup!$H$25)=12,YEAR(Postup!$H$25)=$D$354),Provozování!AJ32,IF(YEAR(Postup!$H$25)=$D$354,Provozování!$BM32,0)))</f>
        <v>0</v>
      </c>
      <c r="K377" s="12" t="s">
        <v>29</v>
      </c>
      <c r="L377" s="13" t="s">
        <v>30</v>
      </c>
      <c r="M377" s="3" t="s">
        <v>10</v>
      </c>
      <c r="N377" s="49">
        <v>0</v>
      </c>
      <c r="O377" s="443">
        <f>IF(Provozování!$AK$16="Neaktivní",0,Provozování!AK32)</f>
        <v>0</v>
      </c>
      <c r="P377" s="49">
        <v>0</v>
      </c>
      <c r="Q377" s="443">
        <f>IF(Provozování!$AK$16="Neaktivní",0,Provozování!AL32)</f>
        <v>0</v>
      </c>
      <c r="T377" s="12" t="s">
        <v>29</v>
      </c>
      <c r="U377" s="13" t="s">
        <v>30</v>
      </c>
      <c r="V377" s="3" t="s">
        <v>10</v>
      </c>
      <c r="W377" s="595">
        <v>0</v>
      </c>
      <c r="X377" s="49">
        <f>IF(Provozování!$AK$16="Neaktivní",F377,F377*Výpočty!$M$58+O377)</f>
        <v>0</v>
      </c>
      <c r="Y377" s="49">
        <f t="shared" si="159"/>
        <v>0</v>
      </c>
      <c r="Z377" s="595">
        <v>0</v>
      </c>
      <c r="AA377" s="49">
        <f>IF(Provozování!$AK$16="Neaktivní",H377,H377*Výpočty!$M$58+Q377)</f>
        <v>0</v>
      </c>
      <c r="AB377" s="32">
        <f t="shared" si="160"/>
        <v>0</v>
      </c>
      <c r="AC377" s="183"/>
      <c r="AD377" s="183"/>
      <c r="AK377" s="183"/>
      <c r="AL377" s="183"/>
      <c r="AM377" s="183"/>
      <c r="AN377" s="183"/>
    </row>
    <row r="378" spans="2:40" x14ac:dyDescent="0.25">
      <c r="B378" s="9" t="s">
        <v>31</v>
      </c>
      <c r="C378" s="10" t="s">
        <v>32</v>
      </c>
      <c r="D378" s="11" t="s">
        <v>10</v>
      </c>
      <c r="E378" s="46">
        <f>SUM(E379:E382)</f>
        <v>0</v>
      </c>
      <c r="F378" s="46">
        <f>SUM(F379:F382)</f>
        <v>0</v>
      </c>
      <c r="G378" s="46">
        <f>SUM(G379:G382)</f>
        <v>0</v>
      </c>
      <c r="H378" s="98">
        <f>SUM(H379:H382)</f>
        <v>0</v>
      </c>
      <c r="K378" s="9" t="s">
        <v>31</v>
      </c>
      <c r="L378" s="10" t="s">
        <v>32</v>
      </c>
      <c r="M378" s="11" t="s">
        <v>10</v>
      </c>
      <c r="N378" s="46">
        <f>SUM(N379:N382)</f>
        <v>0</v>
      </c>
      <c r="O378" s="46">
        <f>SUM(O379:O382)</f>
        <v>0</v>
      </c>
      <c r="P378" s="46">
        <f>SUM(P379:P382)</f>
        <v>0</v>
      </c>
      <c r="Q378" s="98">
        <f>SUM(Q379:Q382)</f>
        <v>0</v>
      </c>
      <c r="T378" s="9" t="s">
        <v>31</v>
      </c>
      <c r="U378" s="10" t="s">
        <v>32</v>
      </c>
      <c r="V378" s="11" t="s">
        <v>10</v>
      </c>
      <c r="W378" s="98">
        <f t="shared" ref="W378:AB378" si="161">SUM(W379:W382)</f>
        <v>0</v>
      </c>
      <c r="X378" s="98">
        <f t="shared" si="161"/>
        <v>0</v>
      </c>
      <c r="Y378" s="98">
        <f t="shared" si="161"/>
        <v>0</v>
      </c>
      <c r="Z378" s="98">
        <f t="shared" si="161"/>
        <v>0</v>
      </c>
      <c r="AA378" s="98">
        <f t="shared" si="161"/>
        <v>0</v>
      </c>
      <c r="AB378" s="98">
        <f t="shared" si="161"/>
        <v>0</v>
      </c>
      <c r="AC378" s="183"/>
      <c r="AD378" s="183"/>
      <c r="AK378" s="183"/>
      <c r="AL378" s="183"/>
      <c r="AM378" s="183"/>
      <c r="AN378" s="183"/>
    </row>
    <row r="379" spans="2:40" x14ac:dyDescent="0.25">
      <c r="B379" s="12" t="s">
        <v>33</v>
      </c>
      <c r="C379" s="21" t="s">
        <v>34</v>
      </c>
      <c r="D379" s="3" t="s">
        <v>10</v>
      </c>
      <c r="E379" s="49">
        <v>0</v>
      </c>
      <c r="F379" s="49">
        <f>IF(YEAR(Postup!$H$25)&gt;$D$354,Provozování!AI34,IF(AND(DAY(Postup!$H$25)=31,MONTH(Postup!$H$25)=12,YEAR(Postup!$H$25)=$D$354),Provozování!AI34,IF(YEAR(Postup!$H$25)=$D$354,Provozování!$BL34,0)))</f>
        <v>0</v>
      </c>
      <c r="G379" s="49">
        <v>0</v>
      </c>
      <c r="H379" s="32">
        <f>IF(YEAR(Postup!$H$25)&gt;$D$354,Provozování!AJ34,IF(AND(DAY(Postup!$H$25)=31,MONTH(Postup!$H$25)=12,YEAR(Postup!$H$25)=$D$354),Provozování!AJ34,IF(YEAR(Postup!$H$25)=$D$354,Provozování!$BM34,0)))</f>
        <v>0</v>
      </c>
      <c r="K379" s="12" t="s">
        <v>33</v>
      </c>
      <c r="L379" s="21" t="s">
        <v>34</v>
      </c>
      <c r="M379" s="3" t="s">
        <v>10</v>
      </c>
      <c r="N379" s="49">
        <v>0</v>
      </c>
      <c r="O379" s="49">
        <f>IF(Provozování!$AK$16="Neaktivní",0,Provozování!AK34)</f>
        <v>0</v>
      </c>
      <c r="P379" s="49">
        <v>0</v>
      </c>
      <c r="Q379" s="59">
        <f>IF(Provozování!$AK$16="Neaktivní",0,Provozování!AL34)</f>
        <v>0</v>
      </c>
      <c r="T379" s="12" t="s">
        <v>33</v>
      </c>
      <c r="U379" s="21" t="s">
        <v>34</v>
      </c>
      <c r="V379" s="3" t="s">
        <v>10</v>
      </c>
      <c r="W379" s="595">
        <v>0</v>
      </c>
      <c r="X379" s="49">
        <f>IF(Provozování!$AK$16="Neaktivní",F379,F379*Výpočty!$M$58+O379)</f>
        <v>0</v>
      </c>
      <c r="Y379" s="49">
        <f t="shared" ref="Y379:Y381" si="162">W379-X379</f>
        <v>0</v>
      </c>
      <c r="Z379" s="595">
        <v>0</v>
      </c>
      <c r="AA379" s="49">
        <f>IF(Provozování!$AK$16="Neaktivní",H379,H379*Výpočty!$M$58+Q379)</f>
        <v>0</v>
      </c>
      <c r="AB379" s="32">
        <f t="shared" ref="AB379:AB381" si="163">Z379-AA379</f>
        <v>0</v>
      </c>
      <c r="AC379" s="183"/>
      <c r="AD379" s="183"/>
      <c r="AK379" s="183"/>
      <c r="AL379" s="183"/>
      <c r="AM379" s="183"/>
      <c r="AN379" s="183"/>
    </row>
    <row r="380" spans="2:40" x14ac:dyDescent="0.25">
      <c r="B380" s="12" t="s">
        <v>35</v>
      </c>
      <c r="C380" s="13" t="s">
        <v>36</v>
      </c>
      <c r="D380" s="3" t="s">
        <v>10</v>
      </c>
      <c r="E380" s="49">
        <v>0</v>
      </c>
      <c r="F380" s="444">
        <f>IF(YEAR(Postup!$H$25)&gt;$D$354,Provozování!AI35,IF(AND(DAY(Postup!$H$25)=31,MONTH(Postup!$H$25)=12,YEAR(Postup!$H$25)=$D$354),Provozování!AI35,IF(YEAR(Postup!$H$25)=$D$354,Provozování!$BL35,0)))</f>
        <v>0</v>
      </c>
      <c r="G380" s="49">
        <v>0</v>
      </c>
      <c r="H380" s="443">
        <f>IF(YEAR(Postup!$H$25)&gt;$D$354,Provozování!AJ35,IF(AND(DAY(Postup!$H$25)=31,MONTH(Postup!$H$25)=12,YEAR(Postup!$H$25)=$D$354),Provozování!AJ35,IF(YEAR(Postup!$H$25)=$D$354,Provozování!$BM35,0)))</f>
        <v>0</v>
      </c>
      <c r="K380" s="12" t="s">
        <v>35</v>
      </c>
      <c r="L380" s="13" t="s">
        <v>36</v>
      </c>
      <c r="M380" s="3" t="s">
        <v>10</v>
      </c>
      <c r="N380" s="49">
        <v>0</v>
      </c>
      <c r="O380" s="444">
        <f>IF(Provozování!$AK$16="Neaktivní",0,Provozování!AK35)</f>
        <v>0</v>
      </c>
      <c r="P380" s="49">
        <v>0</v>
      </c>
      <c r="Q380" s="450">
        <f>IF(Provozování!$AK$16="Neaktivní",0,Provozování!AL35)</f>
        <v>0</v>
      </c>
      <c r="T380" s="12" t="s">
        <v>35</v>
      </c>
      <c r="U380" s="13" t="s">
        <v>36</v>
      </c>
      <c r="V380" s="3" t="s">
        <v>10</v>
      </c>
      <c r="W380" s="595">
        <v>0</v>
      </c>
      <c r="X380" s="49">
        <f>IF(Provozování!$AK$16="Neaktivní",F380,F380*Výpočty!$M$58+O380)</f>
        <v>0</v>
      </c>
      <c r="Y380" s="49">
        <f t="shared" si="162"/>
        <v>0</v>
      </c>
      <c r="Z380" s="595">
        <v>0</v>
      </c>
      <c r="AA380" s="49">
        <f>IF(Provozování!$AK$16="Neaktivní",H380,H380*Výpočty!$M$58+Q380)</f>
        <v>0</v>
      </c>
      <c r="AB380" s="32">
        <f t="shared" si="163"/>
        <v>0</v>
      </c>
      <c r="AC380" s="183"/>
      <c r="AD380" s="183"/>
      <c r="AK380" s="183"/>
      <c r="AL380" s="183"/>
      <c r="AM380" s="183"/>
      <c r="AN380" s="183"/>
    </row>
    <row r="381" spans="2:40" x14ac:dyDescent="0.25">
      <c r="B381" s="12" t="s">
        <v>37</v>
      </c>
      <c r="C381" s="13" t="s">
        <v>38</v>
      </c>
      <c r="D381" s="3" t="s">
        <v>10</v>
      </c>
      <c r="E381" s="49">
        <v>0</v>
      </c>
      <c r="F381" s="600">
        <f>IF(YEAR(Postup!$H$25)&gt;$D$354,Provozování!AI36,IF(AND(DAY(Postup!$H$25)=31,MONTH(Postup!$H$25)=12,YEAR(Postup!$H$25)=$D$354),Provozování!AI36,IF(YEAR(Postup!$H$25)=$D$354,Provozování!$BL36,0)))</f>
        <v>0</v>
      </c>
      <c r="G381" s="49">
        <v>0</v>
      </c>
      <c r="H381" s="601">
        <f>IF(YEAR(Postup!$H$25)&gt;$D$354,Provozování!AJ36,IF(AND(DAY(Postup!$H$25)=31,MONTH(Postup!$H$25)=12,YEAR(Postup!$H$25)=$D$354),Provozování!AJ36,IF(YEAR(Postup!$H$25)=$D$354,Provozování!$BM36,0)))</f>
        <v>0</v>
      </c>
      <c r="K381" s="12" t="s">
        <v>37</v>
      </c>
      <c r="L381" s="13" t="s">
        <v>38</v>
      </c>
      <c r="M381" s="3" t="s">
        <v>10</v>
      </c>
      <c r="N381" s="49">
        <v>0</v>
      </c>
      <c r="O381" s="49">
        <f>IF(Provozování!$AK$16="Neaktivní",0,Provozování!AK36)</f>
        <v>0</v>
      </c>
      <c r="P381" s="49">
        <v>0</v>
      </c>
      <c r="Q381" s="59">
        <f>IF(Provozování!$AK$16="Neaktivní",0,Provozování!AL36)</f>
        <v>0</v>
      </c>
      <c r="T381" s="12" t="s">
        <v>37</v>
      </c>
      <c r="U381" s="13" t="s">
        <v>38</v>
      </c>
      <c r="V381" s="3" t="s">
        <v>10</v>
      </c>
      <c r="W381" s="595">
        <v>0</v>
      </c>
      <c r="X381" s="49">
        <f>IF(Provozování!$AK$16="Neaktivní",F381,F381*Výpočty!$M$58+O381)</f>
        <v>0</v>
      </c>
      <c r="Y381" s="49">
        <f t="shared" si="162"/>
        <v>0</v>
      </c>
      <c r="Z381" s="595">
        <v>0</v>
      </c>
      <c r="AA381" s="49">
        <f>IF(Provozování!$AK$16="Neaktivní",H381,H381*Výpočty!$M$58+Q381)</f>
        <v>0</v>
      </c>
      <c r="AB381" s="32">
        <f t="shared" si="163"/>
        <v>0</v>
      </c>
      <c r="AC381" s="183"/>
      <c r="AD381" s="183"/>
      <c r="AK381" s="183"/>
      <c r="AL381" s="183"/>
      <c r="AM381" s="183"/>
      <c r="AN381" s="183"/>
    </row>
    <row r="382" spans="2:40" x14ac:dyDescent="0.25">
      <c r="B382" s="12" t="s">
        <v>39</v>
      </c>
      <c r="C382" s="21" t="s">
        <v>40</v>
      </c>
      <c r="D382" s="3" t="s">
        <v>10</v>
      </c>
      <c r="E382" s="49">
        <v>0</v>
      </c>
      <c r="F382" s="445">
        <v>0</v>
      </c>
      <c r="G382" s="49">
        <v>0</v>
      </c>
      <c r="H382" s="442">
        <v>0</v>
      </c>
      <c r="K382" s="12" t="s">
        <v>39</v>
      </c>
      <c r="L382" s="21" t="s">
        <v>40</v>
      </c>
      <c r="M382" s="3" t="s">
        <v>10</v>
      </c>
      <c r="N382" s="49">
        <v>0</v>
      </c>
      <c r="O382" s="445">
        <v>0</v>
      </c>
      <c r="P382" s="49">
        <v>0</v>
      </c>
      <c r="Q382" s="442">
        <v>0</v>
      </c>
      <c r="T382" s="12" t="s">
        <v>39</v>
      </c>
      <c r="U382" s="21" t="s">
        <v>40</v>
      </c>
      <c r="V382" s="3" t="s">
        <v>10</v>
      </c>
      <c r="W382" s="445">
        <v>0</v>
      </c>
      <c r="X382" s="445">
        <v>0</v>
      </c>
      <c r="Y382" s="445">
        <v>0</v>
      </c>
      <c r="Z382" s="445">
        <v>0</v>
      </c>
      <c r="AA382" s="445">
        <v>0</v>
      </c>
      <c r="AB382" s="442">
        <v>0</v>
      </c>
      <c r="AC382" s="183"/>
      <c r="AD382" s="183"/>
      <c r="AK382" s="183"/>
      <c r="AL382" s="183"/>
      <c r="AM382" s="183"/>
      <c r="AN382" s="183"/>
    </row>
    <row r="383" spans="2:40" x14ac:dyDescent="0.25">
      <c r="B383" s="9" t="s">
        <v>41</v>
      </c>
      <c r="C383" s="10" t="s">
        <v>42</v>
      </c>
      <c r="D383" s="11" t="s">
        <v>10</v>
      </c>
      <c r="E383" s="46">
        <f>SUM(E384:E386)</f>
        <v>0</v>
      </c>
      <c r="F383" s="46">
        <f>SUM(F384:F386)</f>
        <v>0</v>
      </c>
      <c r="G383" s="46">
        <f>SUM(G384:G386)</f>
        <v>0</v>
      </c>
      <c r="H383" s="98">
        <f>SUM(H384:H386)</f>
        <v>0</v>
      </c>
      <c r="K383" s="9" t="s">
        <v>41</v>
      </c>
      <c r="L383" s="10" t="s">
        <v>42</v>
      </c>
      <c r="M383" s="11" t="s">
        <v>10</v>
      </c>
      <c r="N383" s="46">
        <f>SUM(N384:N386)</f>
        <v>0</v>
      </c>
      <c r="O383" s="46">
        <f>SUM(O384:O386)</f>
        <v>0</v>
      </c>
      <c r="P383" s="46">
        <f>SUM(P384:P386)</f>
        <v>0</v>
      </c>
      <c r="Q383" s="98">
        <f>SUM(Q384:Q386)</f>
        <v>0</v>
      </c>
      <c r="T383" s="9" t="s">
        <v>41</v>
      </c>
      <c r="U383" s="10" t="s">
        <v>42</v>
      </c>
      <c r="V383" s="11" t="s">
        <v>10</v>
      </c>
      <c r="W383" s="98">
        <f t="shared" ref="W383:AB383" si="164">SUM(W384:W386)</f>
        <v>0</v>
      </c>
      <c r="X383" s="98">
        <f t="shared" si="164"/>
        <v>0</v>
      </c>
      <c r="Y383" s="98">
        <f t="shared" si="164"/>
        <v>0</v>
      </c>
      <c r="Z383" s="98">
        <f t="shared" si="164"/>
        <v>0</v>
      </c>
      <c r="AA383" s="98">
        <f t="shared" si="164"/>
        <v>0</v>
      </c>
      <c r="AB383" s="98">
        <f t="shared" si="164"/>
        <v>0</v>
      </c>
      <c r="AC383" s="183"/>
      <c r="AD383" s="183"/>
      <c r="AK383" s="183"/>
      <c r="AL383" s="183"/>
      <c r="AM383" s="183"/>
      <c r="AN383" s="183"/>
    </row>
    <row r="384" spans="2:40" x14ac:dyDescent="0.25">
      <c r="B384" s="12" t="s">
        <v>43</v>
      </c>
      <c r="C384" s="13" t="s">
        <v>44</v>
      </c>
      <c r="D384" s="3" t="s">
        <v>10</v>
      </c>
      <c r="E384" s="49">
        <v>0</v>
      </c>
      <c r="F384" s="445">
        <v>0</v>
      </c>
      <c r="G384" s="49">
        <v>0</v>
      </c>
      <c r="H384" s="32">
        <f>IF(YEAR(Postup!$H$25)&gt;$D$354,Provozování!AJ39,IF(AND(DAY(Postup!$H$25)=31,MONTH(Postup!$H$25)=12,YEAR(Postup!$H$25)=$D$354),Provozování!AJ39,IF(YEAR(Postup!$H$25)=$D$354,Provozování!$BM39,0)))</f>
        <v>0</v>
      </c>
      <c r="K384" s="12" t="s">
        <v>43</v>
      </c>
      <c r="L384" s="13" t="s">
        <v>44</v>
      </c>
      <c r="M384" s="3" t="s">
        <v>10</v>
      </c>
      <c r="N384" s="49">
        <v>0</v>
      </c>
      <c r="O384" s="445">
        <v>0</v>
      </c>
      <c r="P384" s="49">
        <v>0</v>
      </c>
      <c r="Q384" s="59">
        <f>IF(Provozování!$AK$16="Neaktivní",0,Provozování!AL39)</f>
        <v>0</v>
      </c>
      <c r="T384" s="12" t="s">
        <v>43</v>
      </c>
      <c r="U384" s="13" t="s">
        <v>44</v>
      </c>
      <c r="V384" s="3" t="s">
        <v>10</v>
      </c>
      <c r="W384" s="445">
        <v>0</v>
      </c>
      <c r="X384" s="445">
        <v>0</v>
      </c>
      <c r="Y384" s="445">
        <v>0</v>
      </c>
      <c r="Z384" s="595">
        <v>0</v>
      </c>
      <c r="AA384" s="49">
        <f>IF(Provozování!$AK$16="Neaktivní",H384,H384*Výpočty!$M$58+Q384)</f>
        <v>0</v>
      </c>
      <c r="AB384" s="32">
        <f t="shared" ref="AB384:AB387" si="165">Z384-AA384</f>
        <v>0</v>
      </c>
      <c r="AC384" s="183"/>
      <c r="AD384" s="183"/>
      <c r="AE384" s="951" t="s">
        <v>362</v>
      </c>
      <c r="AF384" s="952"/>
      <c r="AG384" s="447">
        <f>Y364</f>
        <v>2025</v>
      </c>
      <c r="AH384" s="447">
        <f>AG384</f>
        <v>2025</v>
      </c>
      <c r="AK384" s="183"/>
      <c r="AL384" s="183"/>
      <c r="AM384" s="183"/>
      <c r="AN384" s="183"/>
    </row>
    <row r="385" spans="2:40" x14ac:dyDescent="0.25">
      <c r="B385" s="12" t="s">
        <v>45</v>
      </c>
      <c r="C385" s="12" t="s">
        <v>46</v>
      </c>
      <c r="D385" s="3" t="s">
        <v>10</v>
      </c>
      <c r="E385" s="49">
        <v>0</v>
      </c>
      <c r="F385" s="590">
        <f>IF(YEAR(Postup!$H$25)&gt;$D$354,Provozování!AI40,IF(AND(DAY(Postup!$H$25)=31,MONTH(Postup!$H$25)=12,YEAR(Postup!$H$25)=$D$354),Provozování!AI40,IF(YEAR(Postup!$H$25)=$D$354,Provozování!$BL40,0)))</f>
        <v>0</v>
      </c>
      <c r="G385" s="49">
        <v>0</v>
      </c>
      <c r="H385" s="590">
        <f>IF(YEAR(Postup!$H$25)&gt;$D$354,Provozování!AJ40,IF(AND(DAY(Postup!$H$25)=31,MONTH(Postup!$H$25)=12,YEAR(Postup!$H$25)=$D$354),Provozování!AJ40,IF(YEAR(Postup!$H$25)=$D$354,Provozování!$BM40,0)))</f>
        <v>0</v>
      </c>
      <c r="K385" s="12" t="s">
        <v>45</v>
      </c>
      <c r="L385" s="12" t="s">
        <v>46</v>
      </c>
      <c r="M385" s="3" t="s">
        <v>10</v>
      </c>
      <c r="N385" s="49">
        <v>0</v>
      </c>
      <c r="O385" s="443">
        <f>IF(Provozování!$AK$16="Neaktivní",0,Provozování!AK40)</f>
        <v>0</v>
      </c>
      <c r="P385" s="49">
        <v>0</v>
      </c>
      <c r="Q385" s="443">
        <f>IF(Provozování!$AK$16="Neaktivní",0,Provozování!AL40)</f>
        <v>0</v>
      </c>
      <c r="T385" s="12" t="s">
        <v>45</v>
      </c>
      <c r="U385" s="12" t="s">
        <v>46</v>
      </c>
      <c r="V385" s="3" t="s">
        <v>10</v>
      </c>
      <c r="W385" s="595">
        <v>0</v>
      </c>
      <c r="X385" s="49">
        <f>IF(Provozování!$AK$16="Neaktivní",F385,F385*Výpočty!$M$58+O385)</f>
        <v>0</v>
      </c>
      <c r="Y385" s="49">
        <f t="shared" ref="Y385:Y387" si="166">W385-X385</f>
        <v>0</v>
      </c>
      <c r="Z385" s="595">
        <v>0</v>
      </c>
      <c r="AA385" s="49">
        <f>IF(Provozování!$AK$16="Neaktivní",H385,H385*Výpočty!$M$58+Q385)</f>
        <v>0</v>
      </c>
      <c r="AB385" s="32">
        <f t="shared" si="165"/>
        <v>0</v>
      </c>
      <c r="AC385" s="183"/>
      <c r="AD385" s="183"/>
      <c r="AE385" s="953"/>
      <c r="AF385" s="954"/>
      <c r="AG385" s="957" t="s">
        <v>299</v>
      </c>
      <c r="AH385" s="957" t="s">
        <v>300</v>
      </c>
      <c r="AK385" s="183"/>
      <c r="AL385" s="183"/>
      <c r="AM385" s="183"/>
      <c r="AN385" s="183"/>
    </row>
    <row r="386" spans="2:40" x14ac:dyDescent="0.25">
      <c r="B386" s="12" t="s">
        <v>47</v>
      </c>
      <c r="C386" s="13" t="s">
        <v>48</v>
      </c>
      <c r="D386" s="3" t="s">
        <v>10</v>
      </c>
      <c r="E386" s="49">
        <v>0</v>
      </c>
      <c r="F386" s="590">
        <f>IF(YEAR(Postup!$H$25)&gt;$D$354,Provozování!AI41,IF(AND(DAY(Postup!$H$25)=31,MONTH(Postup!$H$25)=12,YEAR(Postup!$H$25)=$D$354),Provozování!AI41,IF(YEAR(Postup!$H$25)=$D$354,Provozování!$BL41,0)))</f>
        <v>0</v>
      </c>
      <c r="G386" s="49">
        <v>0</v>
      </c>
      <c r="H386" s="590">
        <f>IF(YEAR(Postup!$H$25)&gt;$D$354,Provozování!AJ41,IF(AND(DAY(Postup!$H$25)=31,MONTH(Postup!$H$25)=12,YEAR(Postup!$H$25)=$D$354),Provozování!AJ41,IF(YEAR(Postup!$H$25)=$D$354,Provozování!$BM41,0)))</f>
        <v>0</v>
      </c>
      <c r="K386" s="12" t="s">
        <v>47</v>
      </c>
      <c r="L386" s="13" t="s">
        <v>48</v>
      </c>
      <c r="M386" s="3" t="s">
        <v>10</v>
      </c>
      <c r="N386" s="49">
        <v>0</v>
      </c>
      <c r="O386" s="443">
        <f>IF(Provozování!$AK$16="Neaktivní",0,Provozování!AK41)</f>
        <v>0</v>
      </c>
      <c r="P386" s="49">
        <v>0</v>
      </c>
      <c r="Q386" s="443">
        <f>IF(Provozování!$AK$16="Neaktivní",0,Provozování!AL41)</f>
        <v>0</v>
      </c>
      <c r="T386" s="12" t="s">
        <v>47</v>
      </c>
      <c r="U386" s="13" t="s">
        <v>48</v>
      </c>
      <c r="V386" s="3" t="s">
        <v>10</v>
      </c>
      <c r="W386" s="595">
        <v>0</v>
      </c>
      <c r="X386" s="49">
        <f>IF(Provozování!$AK$16="Neaktivní",F386,F386*Výpočty!$M$58+O386)</f>
        <v>0</v>
      </c>
      <c r="Y386" s="49">
        <f t="shared" si="166"/>
        <v>0</v>
      </c>
      <c r="Z386" s="595">
        <v>0</v>
      </c>
      <c r="AA386" s="49">
        <f>IF(Provozování!$AK$16="Neaktivní",H386,H386*Výpočty!$M$58+Q386)</f>
        <v>0</v>
      </c>
      <c r="AB386" s="32">
        <f t="shared" si="165"/>
        <v>0</v>
      </c>
      <c r="AC386" s="183"/>
      <c r="AD386" s="183"/>
      <c r="AE386" s="955"/>
      <c r="AF386" s="956"/>
      <c r="AG386" s="958"/>
      <c r="AH386" s="958"/>
      <c r="AK386" s="183"/>
      <c r="AL386" s="183"/>
      <c r="AM386" s="183"/>
      <c r="AN386" s="183"/>
    </row>
    <row r="387" spans="2:40" x14ac:dyDescent="0.25">
      <c r="B387" s="9" t="s">
        <v>49</v>
      </c>
      <c r="C387" s="10" t="s">
        <v>50</v>
      </c>
      <c r="D387" s="11" t="s">
        <v>10</v>
      </c>
      <c r="E387" s="49">
        <v>0</v>
      </c>
      <c r="F387" s="589">
        <f>IF(YEAR(Postup!$H$25)&gt;$D$354,Provozování!AI42,IF(AND(DAY(Postup!$H$25)=31,MONTH(Postup!$H$25)=12,YEAR(Postup!$H$25)=$D$354),Provozování!AI42,IF(YEAR(Postup!$H$25)=$D$354,Provozování!$BL42,0)))</f>
        <v>0</v>
      </c>
      <c r="G387" s="49">
        <v>0</v>
      </c>
      <c r="H387" s="590">
        <f>IF(YEAR(Postup!$H$25)&gt;$D$354,Provozování!AJ42,IF(AND(DAY(Postup!$H$25)=31,MONTH(Postup!$H$25)=12,YEAR(Postup!$H$25)=$D$354),Provozování!AJ42,IF(YEAR(Postup!$H$25)=$D$354,Provozování!$BM42,0)))</f>
        <v>0</v>
      </c>
      <c r="K387" s="9" t="s">
        <v>49</v>
      </c>
      <c r="L387" s="10" t="s">
        <v>50</v>
      </c>
      <c r="M387" s="11" t="s">
        <v>10</v>
      </c>
      <c r="N387" s="49">
        <v>0</v>
      </c>
      <c r="O387" s="444">
        <f>IF(Provozování!$AK$16="Neaktivní",0,Provozování!AK42)</f>
        <v>0</v>
      </c>
      <c r="P387" s="49">
        <v>0</v>
      </c>
      <c r="Q387" s="450">
        <f>IF(Provozování!$AK$16="Neaktivní",0,Provozování!AL42)</f>
        <v>0</v>
      </c>
      <c r="T387" s="9" t="s">
        <v>49</v>
      </c>
      <c r="U387" s="10" t="s">
        <v>50</v>
      </c>
      <c r="V387" s="11" t="s">
        <v>10</v>
      </c>
      <c r="W387" s="595">
        <v>0</v>
      </c>
      <c r="X387" s="49">
        <f>IF(Provozování!$AK$16="Neaktivní",F387,F387*Výpočty!$M$58+O387)</f>
        <v>0</v>
      </c>
      <c r="Y387" s="49">
        <f t="shared" si="166"/>
        <v>0</v>
      </c>
      <c r="Z387" s="595">
        <v>0</v>
      </c>
      <c r="AA387" s="49">
        <f>IF(Provozování!$AK$16="Neaktivní",H387,H387*Výpočty!$M$58+Q387)</f>
        <v>0</v>
      </c>
      <c r="AB387" s="32">
        <f t="shared" si="165"/>
        <v>0</v>
      </c>
      <c r="AC387" s="183"/>
      <c r="AD387" s="183"/>
      <c r="AE387" s="12" t="s">
        <v>405</v>
      </c>
      <c r="AF387" s="12" t="s">
        <v>408</v>
      </c>
      <c r="AG387" s="542">
        <f>Z415</f>
        <v>0</v>
      </c>
      <c r="AH387" s="542">
        <f>AB415</f>
        <v>0</v>
      </c>
      <c r="AK387" s="183"/>
      <c r="AL387" s="183"/>
      <c r="AM387" s="183"/>
      <c r="AN387" s="183"/>
    </row>
    <row r="388" spans="2:40" x14ac:dyDescent="0.25">
      <c r="B388" s="9" t="s">
        <v>51</v>
      </c>
      <c r="C388" s="10" t="s">
        <v>52</v>
      </c>
      <c r="D388" s="11" t="s">
        <v>10</v>
      </c>
      <c r="E388" s="49">
        <v>0</v>
      </c>
      <c r="F388" s="589">
        <f>IF(YEAR(Postup!$H$25)&gt;$D$354,Provozování!AI43-Provozování!AI97,IF(AND(DAY(Postup!$H$25)=31,MONTH(Postup!$H$25)=12,YEAR(Postup!$H$25)=$D$354),Provozování!AI43-Provozování!AI97,IF(YEAR(Postup!$H$25)=$D$354,Provozování!$BL43-Provozování!AI97,0)))</f>
        <v>0</v>
      </c>
      <c r="G388" s="49">
        <v>0</v>
      </c>
      <c r="H388" s="590">
        <f>IF(YEAR(Postup!$H$25)&gt;$D$354,Provozování!AJ43-Provozování!AJ97,IF(AND(DAY(Postup!$H$25)=31,MONTH(Postup!$H$25)=12,YEAR(Postup!$H$25)=$D$354),Provozování!AJ43-Provozování!AJ97,IF(YEAR(Postup!$H$25)=$D$354,Provozování!$BM43-Provozování!AJ97,0)))</f>
        <v>0</v>
      </c>
      <c r="K388" s="9" t="s">
        <v>51</v>
      </c>
      <c r="L388" s="10" t="s">
        <v>52</v>
      </c>
      <c r="M388" s="11" t="s">
        <v>10</v>
      </c>
      <c r="N388" s="49">
        <v>0</v>
      </c>
      <c r="O388" s="444">
        <f>IF(Provozování!$AK$16="Neaktivní",0,Provozování!AK43-Provozování!AI97*Výpočty!M53)</f>
        <v>0</v>
      </c>
      <c r="P388" s="49">
        <v>0</v>
      </c>
      <c r="Q388" s="450">
        <f>IF(Provozování!$AK$16="Neaktivní",0,Provozování!AL43-Provozování!AJ97*Výpočty!M53)</f>
        <v>0</v>
      </c>
      <c r="T388" s="9" t="s">
        <v>51</v>
      </c>
      <c r="U388" s="10" t="s">
        <v>52</v>
      </c>
      <c r="V388" s="11" t="s">
        <v>10</v>
      </c>
      <c r="W388" s="595">
        <v>0</v>
      </c>
      <c r="X388" s="49">
        <f>IF(Provozování!$AK$16="Neaktivní",F388,F388*Výpočty!$M$58+O388)</f>
        <v>0</v>
      </c>
      <c r="Y388" s="49">
        <f>ABS(W388)-ABS(X388)</f>
        <v>0</v>
      </c>
      <c r="Z388" s="595">
        <v>0</v>
      </c>
      <c r="AA388" s="49">
        <f>IF(Provozování!$AK$16="Neaktivní",H388,H388*Výpočty!$M$58+Q388)</f>
        <v>0</v>
      </c>
      <c r="AB388" s="32">
        <f>ABS(Z388)-ABS(AA388)</f>
        <v>0</v>
      </c>
      <c r="AC388" s="183"/>
      <c r="AD388" s="183"/>
      <c r="AE388" s="12" t="s">
        <v>406</v>
      </c>
      <c r="AF388" s="13" t="s">
        <v>410</v>
      </c>
      <c r="AG388" s="360">
        <f>Y414</f>
        <v>0</v>
      </c>
      <c r="AH388" s="360">
        <f>AA414</f>
        <v>0</v>
      </c>
      <c r="AK388" s="183"/>
      <c r="AL388" s="183"/>
      <c r="AM388" s="183"/>
      <c r="AN388" s="183"/>
    </row>
    <row r="389" spans="2:40" x14ac:dyDescent="0.25">
      <c r="B389" s="9" t="s">
        <v>53</v>
      </c>
      <c r="C389" s="10" t="s">
        <v>54</v>
      </c>
      <c r="D389" s="11" t="s">
        <v>10</v>
      </c>
      <c r="E389" s="49">
        <v>0</v>
      </c>
      <c r="F389" s="590">
        <f>IF(YEAR(Postup!$H$25)&gt;$D$354,Provozování!AI44,IF(AND(DAY(Postup!$H$25)=31,MONTH(Postup!$H$25)=12,YEAR(Postup!$H$25)=$D$354),Provozování!AI44,IF(YEAR(Postup!$H$25)=$D$354,Provozování!$BL44,0)))</f>
        <v>0</v>
      </c>
      <c r="G389" s="49">
        <v>0</v>
      </c>
      <c r="H389" s="590">
        <f>IF(YEAR(Postup!$H$25)&gt;$D$354,Provozování!AJ44,IF(AND(DAY(Postup!$H$25)=31,MONTH(Postup!$H$25)=12,YEAR(Postup!$H$25)=$D$354),Provozování!AJ44,IF(YEAR(Postup!$H$25)=$D$354,Provozování!$BM44,0)))</f>
        <v>0</v>
      </c>
      <c r="K389" s="9" t="s">
        <v>53</v>
      </c>
      <c r="L389" s="10" t="s">
        <v>54</v>
      </c>
      <c r="M389" s="11" t="s">
        <v>10</v>
      </c>
      <c r="N389" s="49">
        <v>0</v>
      </c>
      <c r="O389" s="443">
        <f>IF(Provozování!$AK$16="Neaktivní",0,Provozování!AK44)</f>
        <v>0</v>
      </c>
      <c r="P389" s="49">
        <v>0</v>
      </c>
      <c r="Q389" s="443">
        <f>IF(Provozování!$AK$16="Neaktivní",0,Provozování!AL44)</f>
        <v>0</v>
      </c>
      <c r="T389" s="9" t="s">
        <v>53</v>
      </c>
      <c r="U389" s="10" t="s">
        <v>54</v>
      </c>
      <c r="V389" s="11" t="s">
        <v>10</v>
      </c>
      <c r="W389" s="595">
        <v>0</v>
      </c>
      <c r="X389" s="49">
        <f>IF(Provozování!$AK$16="Neaktivní",F389,F389*Výpočty!$M$58+O389)</f>
        <v>0</v>
      </c>
      <c r="Y389" s="49">
        <f t="shared" ref="Y389:Y390" si="167">W389-X389</f>
        <v>0</v>
      </c>
      <c r="Z389" s="595">
        <v>0</v>
      </c>
      <c r="AA389" s="49">
        <f>IF(Provozování!$AK$16="Neaktivní",H389,H389*Výpočty!$M$58+Q389)</f>
        <v>0</v>
      </c>
      <c r="AB389" s="32">
        <f t="shared" ref="AB389:AB390" si="168">Z389-AA389</f>
        <v>0</v>
      </c>
      <c r="AC389" s="183"/>
      <c r="AD389" s="183"/>
      <c r="AE389" s="12" t="s">
        <v>407</v>
      </c>
      <c r="AF389" s="13" t="s">
        <v>409</v>
      </c>
      <c r="AG389" s="360">
        <f>Z414</f>
        <v>0</v>
      </c>
      <c r="AH389" s="360">
        <f>AB414</f>
        <v>0</v>
      </c>
      <c r="AK389" s="183"/>
      <c r="AL389" s="183"/>
      <c r="AM389" s="183"/>
      <c r="AN389" s="183"/>
    </row>
    <row r="390" spans="2:40" x14ac:dyDescent="0.25">
      <c r="B390" s="9" t="s">
        <v>55</v>
      </c>
      <c r="C390" s="10" t="s">
        <v>56</v>
      </c>
      <c r="D390" s="11" t="s">
        <v>10</v>
      </c>
      <c r="E390" s="49">
        <v>0</v>
      </c>
      <c r="F390" s="590">
        <f>IF(YEAR(Postup!$H$25)&gt;$D$354,Provozování!AI45,IF(AND(DAY(Postup!$H$25)=31,MONTH(Postup!$H$25)=12,YEAR(Postup!$H$25)=$D$354),Provozování!AI45,IF(YEAR(Postup!$H$25)=$D$354,Provozování!$BL45,0)))</f>
        <v>0</v>
      </c>
      <c r="G390" s="49">
        <v>0</v>
      </c>
      <c r="H390" s="590">
        <f>IF(YEAR(Postup!$H$25)&gt;$D$354,Provozování!AJ45,IF(AND(DAY(Postup!$H$25)=31,MONTH(Postup!$H$25)=12,YEAR(Postup!$H$25)=$D$354),Provozování!AJ45,IF(YEAR(Postup!$H$25)=$D$354,Provozování!$BM45,0)))</f>
        <v>0</v>
      </c>
      <c r="K390" s="9" t="s">
        <v>55</v>
      </c>
      <c r="L390" s="10" t="s">
        <v>56</v>
      </c>
      <c r="M390" s="11" t="s">
        <v>10</v>
      </c>
      <c r="N390" s="49">
        <v>0</v>
      </c>
      <c r="O390" s="443">
        <f>IF(Provozování!$AK$16="Neaktivní",0,Provozování!AK45)</f>
        <v>0</v>
      </c>
      <c r="P390" s="49">
        <v>0</v>
      </c>
      <c r="Q390" s="443">
        <f>IF(Provozování!$AK$16="Neaktivní",0,Provozování!AL45)</f>
        <v>0</v>
      </c>
      <c r="T390" s="9" t="s">
        <v>55</v>
      </c>
      <c r="U390" s="10" t="s">
        <v>56</v>
      </c>
      <c r="V390" s="11" t="s">
        <v>10</v>
      </c>
      <c r="W390" s="595">
        <v>0</v>
      </c>
      <c r="X390" s="49">
        <f>IF(Provozování!$AK$16="Neaktivní",F390,F390*Výpočty!$M$58+O390)</f>
        <v>0</v>
      </c>
      <c r="Y390" s="49">
        <f t="shared" si="167"/>
        <v>0</v>
      </c>
      <c r="Z390" s="595">
        <v>0</v>
      </c>
      <c r="AA390" s="49">
        <f>IF(Provozování!$AK$16="Neaktivní",H390,H390*Výpočty!$M$58+Q390)</f>
        <v>0</v>
      </c>
      <c r="AB390" s="32">
        <f t="shared" si="168"/>
        <v>0</v>
      </c>
      <c r="AC390" s="183"/>
      <c r="AD390" s="183"/>
      <c r="AE390" s="12" t="s">
        <v>411</v>
      </c>
      <c r="AF390" s="12" t="s">
        <v>419</v>
      </c>
      <c r="AG390" s="360">
        <f>X391-X381</f>
        <v>0</v>
      </c>
      <c r="AH390" s="360">
        <f>AA391-AA381</f>
        <v>0</v>
      </c>
      <c r="AK390" s="183"/>
      <c r="AL390" s="183"/>
      <c r="AM390" s="183"/>
      <c r="AN390" s="183"/>
    </row>
    <row r="391" spans="2:40" x14ac:dyDescent="0.25">
      <c r="B391" s="9" t="s">
        <v>57</v>
      </c>
      <c r="C391" s="10" t="s">
        <v>58</v>
      </c>
      <c r="D391" s="11" t="s">
        <v>10</v>
      </c>
      <c r="E391" s="46">
        <f>E367+E372+E375+E378+E383+E387+E388+E389+E390</f>
        <v>0</v>
      </c>
      <c r="F391" s="46">
        <f>F367+F372+F375+F378+F383+F387+F388+F389+F390</f>
        <v>0</v>
      </c>
      <c r="G391" s="46">
        <f>G367+G372+G375+G378+G383+G387+G388+G389+G390</f>
        <v>0</v>
      </c>
      <c r="H391" s="98">
        <f>H367+H372+H375+H378+H383+H387+H388+H389+H390</f>
        <v>0</v>
      </c>
      <c r="K391" s="9" t="s">
        <v>57</v>
      </c>
      <c r="L391" s="10" t="s">
        <v>58</v>
      </c>
      <c r="M391" s="11" t="s">
        <v>10</v>
      </c>
      <c r="N391" s="46">
        <f>N367+N372+N375+N378+N383+N387+N388+N389+N390</f>
        <v>0</v>
      </c>
      <c r="O391" s="46">
        <f>O367+O372+O375+O378+O383+O387+O388+O389+O390</f>
        <v>0</v>
      </c>
      <c r="P391" s="46">
        <f>P367+P372+P375+P378+P383+P387+P388+P389+P390</f>
        <v>0</v>
      </c>
      <c r="Q391" s="98">
        <f>Q367+Q372+Q375+Q378+Q383+Q387+Q388+Q389+Q390</f>
        <v>0</v>
      </c>
      <c r="T391" s="9" t="s">
        <v>57</v>
      </c>
      <c r="U391" s="10" t="s">
        <v>58</v>
      </c>
      <c r="V391" s="11" t="s">
        <v>10</v>
      </c>
      <c r="W391" s="46">
        <f t="shared" ref="W391:AB391" si="169">W367+W372+W375+W378+W383+W387+W388+W389+W390</f>
        <v>0</v>
      </c>
      <c r="X391" s="46">
        <f t="shared" si="169"/>
        <v>0</v>
      </c>
      <c r="Y391" s="46">
        <f t="shared" si="169"/>
        <v>0</v>
      </c>
      <c r="Z391" s="46">
        <f t="shared" si="169"/>
        <v>0</v>
      </c>
      <c r="AA391" s="46">
        <f t="shared" si="169"/>
        <v>0</v>
      </c>
      <c r="AB391" s="98">
        <f t="shared" si="169"/>
        <v>0</v>
      </c>
      <c r="AC391" s="183"/>
      <c r="AD391" s="183"/>
      <c r="AE391" s="12" t="s">
        <v>412</v>
      </c>
      <c r="AF391" s="12" t="s">
        <v>418</v>
      </c>
      <c r="AG391" s="360">
        <f>W391-W381</f>
        <v>0</v>
      </c>
      <c r="AH391" s="360">
        <f>Z391-Z381</f>
        <v>0</v>
      </c>
      <c r="AK391" s="183"/>
      <c r="AL391" s="183"/>
      <c r="AM391" s="183"/>
      <c r="AN391" s="183"/>
    </row>
    <row r="392" spans="2:40" x14ac:dyDescent="0.25">
      <c r="B392" s="12" t="s">
        <v>59</v>
      </c>
      <c r="C392" s="13" t="s">
        <v>112</v>
      </c>
      <c r="D392" s="3" t="s">
        <v>10</v>
      </c>
      <c r="E392" s="437">
        <v>0</v>
      </c>
      <c r="F392" s="591">
        <f>F322</f>
        <v>0</v>
      </c>
      <c r="G392" s="437">
        <v>0</v>
      </c>
      <c r="H392" s="593">
        <f>H322</f>
        <v>0</v>
      </c>
      <c r="K392" s="12" t="s">
        <v>59</v>
      </c>
      <c r="L392" s="13" t="s">
        <v>112</v>
      </c>
      <c r="M392" s="3" t="s">
        <v>10</v>
      </c>
      <c r="N392" s="437">
        <v>0</v>
      </c>
      <c r="O392" s="437">
        <f>IF(Provozování!$V$16="Neaktivní",0,F392)</f>
        <v>0</v>
      </c>
      <c r="P392" s="437">
        <v>0</v>
      </c>
      <c r="Q392" s="438">
        <f>IF(Provozování!$V$16="Neaktivní",0,H392)</f>
        <v>0</v>
      </c>
      <c r="T392" s="47" t="s">
        <v>59</v>
      </c>
      <c r="U392" s="13" t="s">
        <v>112</v>
      </c>
      <c r="V392" s="3" t="s">
        <v>10</v>
      </c>
      <c r="W392" s="591">
        <v>0</v>
      </c>
      <c r="X392" s="437">
        <f>F392</f>
        <v>0</v>
      </c>
      <c r="Y392" s="437">
        <f>W392-X392</f>
        <v>0</v>
      </c>
      <c r="Z392" s="591">
        <v>0</v>
      </c>
      <c r="AA392" s="437">
        <f>H392</f>
        <v>0</v>
      </c>
      <c r="AB392" s="438">
        <f>Z392-AA392</f>
        <v>0</v>
      </c>
      <c r="AC392" s="183"/>
      <c r="AD392" s="183"/>
      <c r="AE392" s="12" t="s">
        <v>430</v>
      </c>
      <c r="AF392" s="12" t="s">
        <v>431</v>
      </c>
      <c r="AG392" s="360">
        <f>Provozování!AI$97</f>
        <v>0</v>
      </c>
      <c r="AH392" s="360">
        <f ca="1">Provozování!AJ$97</f>
        <v>0</v>
      </c>
      <c r="AK392" s="183"/>
      <c r="AL392" s="183"/>
      <c r="AM392" s="183"/>
      <c r="AN392" s="183"/>
    </row>
    <row r="393" spans="2:40" x14ac:dyDescent="0.25">
      <c r="B393" s="12" t="s">
        <v>60</v>
      </c>
      <c r="C393" s="13" t="s">
        <v>113</v>
      </c>
      <c r="D393" s="3" t="s">
        <v>10</v>
      </c>
      <c r="E393" s="437">
        <v>0</v>
      </c>
      <c r="F393" s="591">
        <f>F323</f>
        <v>0</v>
      </c>
      <c r="G393" s="437">
        <v>0</v>
      </c>
      <c r="H393" s="593">
        <f>H323</f>
        <v>0</v>
      </c>
      <c r="K393" s="12" t="s">
        <v>60</v>
      </c>
      <c r="L393" s="13" t="s">
        <v>113</v>
      </c>
      <c r="M393" s="3" t="s">
        <v>10</v>
      </c>
      <c r="N393" s="437">
        <v>0</v>
      </c>
      <c r="O393" s="437">
        <f>IF(Provozování!$V$16="Neaktivní",0,F393)</f>
        <v>0</v>
      </c>
      <c r="P393" s="437">
        <v>0</v>
      </c>
      <c r="Q393" s="438">
        <f>IF(Provozování!$V$16="Neaktivní",0,H393)</f>
        <v>0</v>
      </c>
      <c r="T393" s="12" t="s">
        <v>60</v>
      </c>
      <c r="U393" s="13" t="s">
        <v>113</v>
      </c>
      <c r="V393" s="3" t="s">
        <v>10</v>
      </c>
      <c r="W393" s="591">
        <v>0</v>
      </c>
      <c r="X393" s="437">
        <f>F393</f>
        <v>0</v>
      </c>
      <c r="Y393" s="437">
        <f>W393-X393</f>
        <v>0</v>
      </c>
      <c r="Z393" s="591">
        <v>0</v>
      </c>
      <c r="AA393" s="437">
        <f>H393</f>
        <v>0</v>
      </c>
      <c r="AB393" s="438">
        <f>Z393-AA393</f>
        <v>0</v>
      </c>
      <c r="AC393" s="183"/>
      <c r="AD393" s="183"/>
      <c r="AE393" s="554" t="s">
        <v>434</v>
      </c>
      <c r="AF393" s="555"/>
      <c r="AG393" s="959">
        <f>(AG387*AG388-AG387*AG389)+(AG390-AG391)-AG392</f>
        <v>0</v>
      </c>
      <c r="AH393" s="959">
        <f ca="1">(AH387*AH388-AH387*AH389)+(AH390-AH391)-AH392</f>
        <v>0</v>
      </c>
      <c r="AK393" s="183"/>
      <c r="AL393" s="183"/>
      <c r="AM393" s="183"/>
      <c r="AN393" s="183"/>
    </row>
    <row r="394" spans="2:40" x14ac:dyDescent="0.25">
      <c r="B394" s="12" t="s">
        <v>61</v>
      </c>
      <c r="C394" s="13" t="s">
        <v>62</v>
      </c>
      <c r="D394" s="3" t="s">
        <v>63</v>
      </c>
      <c r="E394" s="439">
        <v>0</v>
      </c>
      <c r="F394" s="592">
        <f>F324</f>
        <v>0</v>
      </c>
      <c r="G394" s="439">
        <v>0</v>
      </c>
      <c r="H394" s="592">
        <f>H324</f>
        <v>0</v>
      </c>
      <c r="K394" s="12" t="s">
        <v>61</v>
      </c>
      <c r="L394" s="13" t="s">
        <v>62</v>
      </c>
      <c r="M394" s="3" t="s">
        <v>63</v>
      </c>
      <c r="N394" s="439">
        <v>0</v>
      </c>
      <c r="O394" s="439">
        <f>IF(Provozování!$V$16="Neaktivní",0,F394)</f>
        <v>0</v>
      </c>
      <c r="P394" s="439">
        <v>0</v>
      </c>
      <c r="Q394" s="440">
        <f>IF(Provozování!$V$16="Neaktivní",0,H394)</f>
        <v>0</v>
      </c>
      <c r="T394" s="12" t="s">
        <v>61</v>
      </c>
      <c r="U394" s="13" t="s">
        <v>62</v>
      </c>
      <c r="V394" s="3" t="s">
        <v>63</v>
      </c>
      <c r="W394" s="599">
        <v>0</v>
      </c>
      <c r="X394" s="439">
        <f>F394</f>
        <v>0</v>
      </c>
      <c r="Y394" s="440">
        <f>W394-X394</f>
        <v>0</v>
      </c>
      <c r="Z394" s="599">
        <v>0</v>
      </c>
      <c r="AA394" s="439">
        <f>H394</f>
        <v>0</v>
      </c>
      <c r="AB394" s="440">
        <f>Z394-AA394</f>
        <v>0</v>
      </c>
      <c r="AC394" s="183"/>
      <c r="AD394" s="183"/>
      <c r="AE394" s="544" t="s">
        <v>432</v>
      </c>
      <c r="AF394" s="543"/>
      <c r="AG394" s="960"/>
      <c r="AH394" s="960"/>
      <c r="AK394" s="183"/>
      <c r="AL394" s="183"/>
      <c r="AM394" s="183"/>
      <c r="AN394" s="183"/>
    </row>
    <row r="395" spans="2:40" x14ac:dyDescent="0.25">
      <c r="B395" s="12" t="s">
        <v>64</v>
      </c>
      <c r="C395" s="13" t="s">
        <v>65</v>
      </c>
      <c r="D395" s="3" t="s">
        <v>66</v>
      </c>
      <c r="E395" s="49">
        <v>0</v>
      </c>
      <c r="F395" s="49">
        <f>IF(YEAR(Postup!$H$25)&gt;$D$354,Provozování!AI47,IF(AND(DAY(Postup!$H$25)=31,MONTH(Postup!$H$25)=12,YEAR(Postup!$H$25)=$D$354),Provozování!AI47,IF(YEAR(Postup!$H$25)=$D$354,Provozování!$BL47,0)))</f>
        <v>0</v>
      </c>
      <c r="G395" s="49">
        <v>0</v>
      </c>
      <c r="H395" s="442">
        <v>0</v>
      </c>
      <c r="K395" s="12" t="s">
        <v>64</v>
      </c>
      <c r="L395" s="13" t="s">
        <v>65</v>
      </c>
      <c r="M395" s="3" t="s">
        <v>66</v>
      </c>
      <c r="N395" s="49">
        <v>0</v>
      </c>
      <c r="O395" s="49">
        <f>IF(Provozování!$AK$16="Neaktivní",0,Provozování!AK47)</f>
        <v>0</v>
      </c>
      <c r="P395" s="49">
        <v>0</v>
      </c>
      <c r="Q395" s="442">
        <v>0</v>
      </c>
      <c r="T395" s="12" t="s">
        <v>64</v>
      </c>
      <c r="U395" s="13" t="s">
        <v>65</v>
      </c>
      <c r="V395" s="3" t="s">
        <v>66</v>
      </c>
      <c r="W395" s="595">
        <v>0</v>
      </c>
      <c r="X395" s="49">
        <f>IF(Provozování!$AK$16="Neaktivní",F395,F395*Výpočty!$M$58+O395)</f>
        <v>0</v>
      </c>
      <c r="Y395" s="49">
        <f>W395-X395</f>
        <v>0</v>
      </c>
      <c r="Z395" s="445">
        <v>0</v>
      </c>
      <c r="AA395" s="445">
        <v>0</v>
      </c>
      <c r="AB395" s="442">
        <v>0</v>
      </c>
      <c r="AC395" s="183"/>
      <c r="AD395" s="183"/>
      <c r="AE395" s="963" t="s">
        <v>416</v>
      </c>
      <c r="AF395" s="964"/>
      <c r="AG395" s="957" t="str">
        <f>IF(AG393&gt;0,"úspora",IF(AG393&lt;0,"ztráta provozovatele","-"))</f>
        <v>-</v>
      </c>
      <c r="AH395" s="957" t="str">
        <f ca="1">IF(AH393&gt;0,"úspora",IF(AH393&lt;0,"ztráta provozovatele","-"))</f>
        <v>-</v>
      </c>
      <c r="AK395" s="183"/>
      <c r="AL395" s="183"/>
      <c r="AM395" s="183"/>
      <c r="AN395" s="183"/>
    </row>
    <row r="396" spans="2:40" x14ac:dyDescent="0.25">
      <c r="B396" s="12" t="s">
        <v>67</v>
      </c>
      <c r="C396" s="13" t="s">
        <v>68</v>
      </c>
      <c r="D396" s="3" t="s">
        <v>66</v>
      </c>
      <c r="E396" s="49">
        <v>0</v>
      </c>
      <c r="F396" s="49">
        <f>IF(YEAR(Postup!$H$25)&gt;$D$354,Provozování!AI48,IF(AND(DAY(Postup!$H$25)=31,MONTH(Postup!$H$25)=12,YEAR(Postup!$H$25)=$D$354),Provozování!AI48,IF(YEAR(Postup!$H$25)=$D$354,Provozování!$BL48,0)))</f>
        <v>0</v>
      </c>
      <c r="G396" s="49">
        <v>0</v>
      </c>
      <c r="H396" s="442">
        <v>0</v>
      </c>
      <c r="K396" s="12" t="s">
        <v>67</v>
      </c>
      <c r="L396" s="13" t="s">
        <v>68</v>
      </c>
      <c r="M396" s="3" t="s">
        <v>66</v>
      </c>
      <c r="N396" s="49">
        <v>0</v>
      </c>
      <c r="O396" s="49">
        <f>IF(Provozování!$AK$16="Neaktivní",0,Provozování!AK48)</f>
        <v>0</v>
      </c>
      <c r="P396" s="49">
        <v>0</v>
      </c>
      <c r="Q396" s="442">
        <v>0</v>
      </c>
      <c r="T396" s="12" t="s">
        <v>67</v>
      </c>
      <c r="U396" s="13" t="s">
        <v>68</v>
      </c>
      <c r="V396" s="3" t="s">
        <v>66</v>
      </c>
      <c r="W396" s="595">
        <v>0</v>
      </c>
      <c r="X396" s="49">
        <f>IF(Provozování!$AK$16="Neaktivní",F396,F396*Výpočty!$M$58+O396)</f>
        <v>0</v>
      </c>
      <c r="Y396" s="49">
        <f>W396-X396</f>
        <v>0</v>
      </c>
      <c r="Z396" s="445">
        <v>0</v>
      </c>
      <c r="AA396" s="445">
        <v>0</v>
      </c>
      <c r="AB396" s="442">
        <v>0</v>
      </c>
      <c r="AC396" s="183"/>
      <c r="AD396" s="183"/>
      <c r="AE396" s="965"/>
      <c r="AF396" s="966"/>
      <c r="AG396" s="958"/>
      <c r="AH396" s="958"/>
      <c r="AK396" s="183"/>
      <c r="AL396" s="183"/>
      <c r="AM396" s="183"/>
      <c r="AN396" s="183"/>
    </row>
    <row r="397" spans="2:40" x14ac:dyDescent="0.25">
      <c r="B397" s="12" t="s">
        <v>69</v>
      </c>
      <c r="C397" s="13" t="s">
        <v>70</v>
      </c>
      <c r="D397" s="3" t="s">
        <v>66</v>
      </c>
      <c r="E397" s="49">
        <v>0</v>
      </c>
      <c r="F397" s="445">
        <v>0</v>
      </c>
      <c r="G397" s="49">
        <v>0</v>
      </c>
      <c r="H397" s="32">
        <f>IF(YEAR(Postup!$H$25)&gt;$D$354,Provozování!AJ49,IF(AND(DAY(Postup!$H$25)=31,MONTH(Postup!$H$25)=12,YEAR(Postup!$H$25)=$D$354),Provozování!AJ49,IF(YEAR(Postup!$H$25)=$D$354,Provozování!$BM49,0)))</f>
        <v>0</v>
      </c>
      <c r="K397" s="12" t="s">
        <v>69</v>
      </c>
      <c r="L397" s="13" t="s">
        <v>70</v>
      </c>
      <c r="M397" s="3" t="s">
        <v>66</v>
      </c>
      <c r="N397" s="49">
        <v>0</v>
      </c>
      <c r="O397" s="445">
        <v>0</v>
      </c>
      <c r="P397" s="49">
        <v>0</v>
      </c>
      <c r="Q397" s="59">
        <f>IF(Provozování!$AK$16="Neaktivní",0,Provozování!AL49)</f>
        <v>0</v>
      </c>
      <c r="T397" s="12" t="s">
        <v>69</v>
      </c>
      <c r="U397" s="13" t="s">
        <v>70</v>
      </c>
      <c r="V397" s="3" t="s">
        <v>66</v>
      </c>
      <c r="W397" s="445">
        <v>0</v>
      </c>
      <c r="X397" s="445">
        <v>0</v>
      </c>
      <c r="Y397" s="445">
        <v>0</v>
      </c>
      <c r="Z397" s="595">
        <v>0</v>
      </c>
      <c r="AA397" s="49">
        <f>IF(Provozování!$AK$16="Neaktivní",H397,H397*Výpočty!$M$58+Q397)</f>
        <v>0</v>
      </c>
      <c r="AB397" s="32">
        <f t="shared" ref="AB397:AB402" si="170">Z397-AA397</f>
        <v>0</v>
      </c>
      <c r="AC397" s="183"/>
      <c r="AD397" s="183"/>
      <c r="AE397" s="533" t="s">
        <v>422</v>
      </c>
      <c r="AF397" s="533"/>
      <c r="AG397" s="453">
        <f>IF(AG393&gt;0,AG393/AG390,0)</f>
        <v>0</v>
      </c>
      <c r="AH397" s="453">
        <f ca="1">IF(AH393&gt;0,AH393/AH390,0)</f>
        <v>0</v>
      </c>
      <c r="AK397" s="183"/>
      <c r="AL397" s="183"/>
      <c r="AM397" s="183"/>
      <c r="AN397" s="183"/>
    </row>
    <row r="398" spans="2:40" x14ac:dyDescent="0.25">
      <c r="B398" s="12" t="s">
        <v>71</v>
      </c>
      <c r="C398" s="13" t="s">
        <v>68</v>
      </c>
      <c r="D398" s="3" t="s">
        <v>66</v>
      </c>
      <c r="E398" s="49">
        <v>0</v>
      </c>
      <c r="F398" s="445">
        <v>0</v>
      </c>
      <c r="G398" s="49">
        <v>0</v>
      </c>
      <c r="H398" s="32">
        <f>IF(YEAR(Postup!$H$25)&gt;$D$354,Provozování!AJ50,IF(AND(DAY(Postup!$H$25)=31,MONTH(Postup!$H$25)=12,YEAR(Postup!$H$25)=$D$354),Provozování!AJ50,IF(YEAR(Postup!$H$25)=$D$354,Provozování!$BM50,0)))</f>
        <v>0</v>
      </c>
      <c r="K398" s="12" t="s">
        <v>71</v>
      </c>
      <c r="L398" s="13" t="s">
        <v>68</v>
      </c>
      <c r="M398" s="3" t="s">
        <v>66</v>
      </c>
      <c r="N398" s="49">
        <v>0</v>
      </c>
      <c r="O398" s="445">
        <v>0</v>
      </c>
      <c r="P398" s="49">
        <v>0</v>
      </c>
      <c r="Q398" s="59">
        <f>IF(Provozování!$AK$16="Neaktivní",0,Provozování!AL50)</f>
        <v>0</v>
      </c>
      <c r="T398" s="12" t="s">
        <v>71</v>
      </c>
      <c r="U398" s="13" t="s">
        <v>68</v>
      </c>
      <c r="V398" s="3" t="s">
        <v>66</v>
      </c>
      <c r="W398" s="445">
        <v>0</v>
      </c>
      <c r="X398" s="445">
        <v>0</v>
      </c>
      <c r="Y398" s="445">
        <v>0</v>
      </c>
      <c r="Z398" s="595">
        <v>0</v>
      </c>
      <c r="AA398" s="49">
        <f>IF(Provozování!$AK$16="Neaktivní",H398,H398*Výpočty!$M$58+Q398)</f>
        <v>0</v>
      </c>
      <c r="AB398" s="32">
        <f t="shared" si="170"/>
        <v>0</v>
      </c>
      <c r="AC398" s="183"/>
      <c r="AD398" s="183"/>
      <c r="AE398" s="556" t="s">
        <v>402</v>
      </c>
      <c r="AF398" s="556"/>
      <c r="AG398" s="961">
        <f>IF(AG397&gt;0,AG390*AI399*0.5,0)</f>
        <v>0</v>
      </c>
      <c r="AH398" s="961">
        <f ca="1">IF(AH397&gt;0,AH390*AJ399*0.5,0)</f>
        <v>0</v>
      </c>
      <c r="AK398" s="183"/>
      <c r="AL398" s="183"/>
      <c r="AM398" s="183"/>
      <c r="AN398" s="183"/>
    </row>
    <row r="399" spans="2:40" x14ac:dyDescent="0.25">
      <c r="B399" s="12" t="s">
        <v>72</v>
      </c>
      <c r="C399" s="13" t="s">
        <v>73</v>
      </c>
      <c r="D399" s="3" t="s">
        <v>66</v>
      </c>
      <c r="E399" s="49">
        <v>0</v>
      </c>
      <c r="F399" s="445">
        <v>0</v>
      </c>
      <c r="G399" s="49">
        <v>0</v>
      </c>
      <c r="H399" s="32">
        <f>IF(YEAR(Postup!$H$25)&gt;$D$354,Provozování!AJ51,IF(AND(DAY(Postup!$H$25)=31,MONTH(Postup!$H$25)=12,YEAR(Postup!$H$25)=$D$354),Provozování!AJ51,IF(YEAR(Postup!$H$25)=$D$354,Provozování!$BM51,0)))</f>
        <v>0</v>
      </c>
      <c r="K399" s="12" t="s">
        <v>72</v>
      </c>
      <c r="L399" s="13" t="s">
        <v>73</v>
      </c>
      <c r="M399" s="3" t="s">
        <v>66</v>
      </c>
      <c r="N399" s="49">
        <v>0</v>
      </c>
      <c r="O399" s="445">
        <v>0</v>
      </c>
      <c r="P399" s="49">
        <v>0</v>
      </c>
      <c r="Q399" s="59">
        <f>IF(Provozování!$AK$16="Neaktivní",0,Provozování!AL51)</f>
        <v>0</v>
      </c>
      <c r="T399" s="12" t="s">
        <v>72</v>
      </c>
      <c r="U399" s="13" t="s">
        <v>73</v>
      </c>
      <c r="V399" s="3" t="s">
        <v>66</v>
      </c>
      <c r="W399" s="445">
        <v>0</v>
      </c>
      <c r="X399" s="445">
        <v>0</v>
      </c>
      <c r="Y399" s="445">
        <v>0</v>
      </c>
      <c r="Z399" s="595">
        <v>0</v>
      </c>
      <c r="AA399" s="49">
        <f>IF(Provozování!$AK$16="Neaktivní",H399,H399*Výpočty!$M$58+Q399)</f>
        <v>0</v>
      </c>
      <c r="AB399" s="32">
        <f t="shared" si="170"/>
        <v>0</v>
      </c>
      <c r="AC399" s="183"/>
      <c r="AD399" s="183"/>
      <c r="AE399" s="557" t="s">
        <v>413</v>
      </c>
      <c r="AF399" s="557"/>
      <c r="AG399" s="962"/>
      <c r="AH399" s="962"/>
      <c r="AI399" s="454">
        <f>IF(AG397&gt;0.05,0.05,AG397)</f>
        <v>0</v>
      </c>
      <c r="AJ399" s="454">
        <f ca="1">IF(AH397&gt;0.05,0.05,AH397)</f>
        <v>0</v>
      </c>
      <c r="AK399" s="183"/>
      <c r="AL399" s="183"/>
      <c r="AM399" s="183"/>
      <c r="AN399" s="183"/>
    </row>
    <row r="400" spans="2:40" x14ac:dyDescent="0.25">
      <c r="B400" s="12" t="s">
        <v>74</v>
      </c>
      <c r="C400" s="13" t="s">
        <v>75</v>
      </c>
      <c r="D400" s="3" t="s">
        <v>66</v>
      </c>
      <c r="E400" s="49">
        <v>0</v>
      </c>
      <c r="F400" s="445">
        <v>0</v>
      </c>
      <c r="G400" s="49">
        <v>0</v>
      </c>
      <c r="H400" s="32">
        <f>IF(YEAR(Postup!$H$25)&gt;$D$354,Provozování!AJ52,IF(AND(DAY(Postup!$H$25)=31,MONTH(Postup!$H$25)=12,YEAR(Postup!$H$25)=$D$354),Provozování!AJ52,IF(YEAR(Postup!$H$25)=$D$354,Provozování!$BM52,0)))</f>
        <v>0</v>
      </c>
      <c r="K400" s="12" t="s">
        <v>74</v>
      </c>
      <c r="L400" s="13" t="s">
        <v>75</v>
      </c>
      <c r="M400" s="3" t="s">
        <v>66</v>
      </c>
      <c r="N400" s="49">
        <v>0</v>
      </c>
      <c r="O400" s="445">
        <v>0</v>
      </c>
      <c r="P400" s="49">
        <v>0</v>
      </c>
      <c r="Q400" s="59">
        <f>IF(Provozování!$AK$16="Neaktivní",0,Provozování!AL52)</f>
        <v>0</v>
      </c>
      <c r="T400" s="12" t="s">
        <v>74</v>
      </c>
      <c r="U400" s="13" t="s">
        <v>75</v>
      </c>
      <c r="V400" s="3" t="s">
        <v>66</v>
      </c>
      <c r="W400" s="445">
        <v>0</v>
      </c>
      <c r="X400" s="445">
        <v>0</v>
      </c>
      <c r="Y400" s="445">
        <v>0</v>
      </c>
      <c r="Z400" s="595">
        <v>0</v>
      </c>
      <c r="AA400" s="49">
        <f>IF(Provozování!$AK$16="Neaktivní",H400,H400*Výpočty!$M$58+Q400)</f>
        <v>0</v>
      </c>
      <c r="AB400" s="32">
        <f t="shared" si="170"/>
        <v>0</v>
      </c>
      <c r="AC400" s="183"/>
      <c r="AD400" s="183"/>
      <c r="AE400" s="534" t="s">
        <v>414</v>
      </c>
      <c r="AF400" s="534"/>
      <c r="AG400" s="360">
        <f>IF(AI400&gt;0,AG390*(AI400-0.05)*0.8,0)</f>
        <v>0</v>
      </c>
      <c r="AH400" s="360">
        <f ca="1">IF(AJ400&gt;0,AH390*(AJ400-0.05)*0.8,0)</f>
        <v>0</v>
      </c>
      <c r="AI400" s="454">
        <f>IF(AND(AG397&gt;0.05,AG397&lt;=0.1),AG397,IF(AG397&lt;=0.05,0,0.1))</f>
        <v>0</v>
      </c>
      <c r="AJ400" s="454">
        <f ca="1">IF(AND(AH397&gt;0.05,AH397&lt;=0.1),AH397,IF(AH397&lt;=0.05,0,0.1))</f>
        <v>0</v>
      </c>
      <c r="AK400" s="183"/>
      <c r="AL400" s="183"/>
      <c r="AM400" s="183"/>
      <c r="AN400" s="183"/>
    </row>
    <row r="401" spans="2:40" x14ac:dyDescent="0.25">
      <c r="B401" s="12" t="s">
        <v>76</v>
      </c>
      <c r="C401" s="13" t="s">
        <v>77</v>
      </c>
      <c r="D401" s="3" t="s">
        <v>66</v>
      </c>
      <c r="E401" s="49">
        <v>0</v>
      </c>
      <c r="F401" s="49">
        <f>IF(YEAR(Postup!$H$25)&gt;$D$354,Provozování!AI53,IF(AND(DAY(Postup!$H$25)=31,MONTH(Postup!$H$25)=12,YEAR(Postup!$H$25)=$D$354),Provozování!AI53,IF(YEAR(Postup!$H$25)=$D$354,Provozování!$BL53,0)))</f>
        <v>0</v>
      </c>
      <c r="G401" s="49">
        <v>0</v>
      </c>
      <c r="H401" s="32">
        <f>IF(YEAR(Postup!$H$25)&gt;$D$354,Provozování!AJ53,IF(AND(DAY(Postup!$H$25)=31,MONTH(Postup!$H$25)=12,YEAR(Postup!$H$25)=$D$354),Provozování!AJ53,IF(YEAR(Postup!$H$25)=$D$354,Provozování!$BM53,0)))</f>
        <v>0</v>
      </c>
      <c r="K401" s="12" t="s">
        <v>76</v>
      </c>
      <c r="L401" s="13" t="s">
        <v>77</v>
      </c>
      <c r="M401" s="3" t="s">
        <v>66</v>
      </c>
      <c r="N401" s="49">
        <v>0</v>
      </c>
      <c r="O401" s="49">
        <f>IF(Provozování!$AK$16="Neaktivní",0,Provozování!AK53)</f>
        <v>0</v>
      </c>
      <c r="P401" s="49">
        <v>0</v>
      </c>
      <c r="Q401" s="59">
        <f>IF(Provozování!$AK$16="Neaktivní",0,Provozování!AL53)</f>
        <v>0</v>
      </c>
      <c r="T401" s="12" t="s">
        <v>76</v>
      </c>
      <c r="U401" s="13" t="s">
        <v>77</v>
      </c>
      <c r="V401" s="3" t="s">
        <v>66</v>
      </c>
      <c r="W401" s="595">
        <v>0</v>
      </c>
      <c r="X401" s="49">
        <f>IF(Provozování!$AK$16="Neaktivní",F401,F401*Výpočty!$M$58+O401)</f>
        <v>0</v>
      </c>
      <c r="Y401" s="49">
        <f>W401-X401</f>
        <v>0</v>
      </c>
      <c r="Z401" s="595">
        <v>0</v>
      </c>
      <c r="AA401" s="49">
        <f>IF(Provozování!$AK$16="Neaktivní",H401,H401*Výpočty!$M$58+Q401)</f>
        <v>0</v>
      </c>
      <c r="AB401" s="32">
        <f t="shared" si="170"/>
        <v>0</v>
      </c>
      <c r="AC401" s="183"/>
      <c r="AD401" s="183"/>
      <c r="AE401" s="534" t="s">
        <v>415</v>
      </c>
      <c r="AF401" s="534"/>
      <c r="AG401" s="360">
        <f>IF(AI401&gt;0,AG390*(AI401-0.1)*1,0)</f>
        <v>0</v>
      </c>
      <c r="AH401" s="360">
        <f ca="1">IF(AJ401&gt;0,AH390*(AJ401-0.1)*1,0)</f>
        <v>0</v>
      </c>
      <c r="AI401" s="454">
        <f>IF(AG397&gt;0.1,AG397,0)</f>
        <v>0</v>
      </c>
      <c r="AJ401" s="454">
        <f ca="1">IF(AH397&gt;0.1,AH397,0)</f>
        <v>0</v>
      </c>
      <c r="AK401" s="183"/>
      <c r="AL401" s="183"/>
      <c r="AM401" s="183"/>
      <c r="AN401" s="183"/>
    </row>
    <row r="402" spans="2:40" x14ac:dyDescent="0.25">
      <c r="B402" s="12" t="s">
        <v>78</v>
      </c>
      <c r="C402" s="13" t="s">
        <v>79</v>
      </c>
      <c r="D402" s="3" t="s">
        <v>66</v>
      </c>
      <c r="E402" s="49">
        <v>0</v>
      </c>
      <c r="F402" s="49">
        <f>IF(YEAR(Postup!$H$25)&gt;$D$354,Provozování!AI54,IF(AND(DAY(Postup!$H$25)=31,MONTH(Postup!$H$25)=12,YEAR(Postup!$H$25)=$D$354),Provozování!AI54,IF(YEAR(Postup!$H$25)=$D$354,Provozování!$BL54,0)))</f>
        <v>0</v>
      </c>
      <c r="G402" s="49">
        <v>0</v>
      </c>
      <c r="H402" s="32">
        <f>IF(YEAR(Postup!$H$25)&gt;$D$354,Provozování!AJ54,IF(AND(DAY(Postup!$H$25)=31,MONTH(Postup!$H$25)=12,YEAR(Postup!$H$25)=$D$354),Provozování!AJ54,IF(YEAR(Postup!$H$25)=$D$354,Provozování!$BM54,0)))</f>
        <v>0</v>
      </c>
      <c r="K402" s="12" t="s">
        <v>78</v>
      </c>
      <c r="L402" s="13" t="s">
        <v>79</v>
      </c>
      <c r="M402" s="3" t="s">
        <v>66</v>
      </c>
      <c r="N402" s="49">
        <v>0</v>
      </c>
      <c r="O402" s="49">
        <f>IF(Provozování!$AK$16="Neaktivní",0,Provozování!AK54)</f>
        <v>0</v>
      </c>
      <c r="P402" s="49">
        <v>0</v>
      </c>
      <c r="Q402" s="32">
        <f>IF(Provozování!$AK$16="Neaktivní",0,Provozování!AL54)</f>
        <v>0</v>
      </c>
      <c r="T402" s="12" t="s">
        <v>78</v>
      </c>
      <c r="U402" s="13" t="s">
        <v>79</v>
      </c>
      <c r="V402" s="3" t="s">
        <v>66</v>
      </c>
      <c r="W402" s="595">
        <v>0</v>
      </c>
      <c r="X402" s="49">
        <f>IF(Provozování!$AK$16="Neaktivní",F402,F402*Výpočty!$M$58+O402)</f>
        <v>0</v>
      </c>
      <c r="Y402" s="49">
        <f>W402-X402</f>
        <v>0</v>
      </c>
      <c r="Z402" s="595">
        <v>0</v>
      </c>
      <c r="AA402" s="49">
        <f>IF(Provozování!$AK$16="Neaktivní",H402,H402*Výpočty!$M$58+Q402)</f>
        <v>0</v>
      </c>
      <c r="AB402" s="32">
        <f t="shared" si="170"/>
        <v>0</v>
      </c>
      <c r="AC402" s="183"/>
      <c r="AD402" s="183"/>
      <c r="AE402" s="532" t="s">
        <v>403</v>
      </c>
      <c r="AF402" s="532"/>
      <c r="AG402" s="455">
        <f>SUM(AG398:AG401)</f>
        <v>0</v>
      </c>
      <c r="AH402" s="455">
        <f ca="1">SUM(AH398:AH401)</f>
        <v>0</v>
      </c>
      <c r="AK402" s="183"/>
      <c r="AL402" s="183"/>
      <c r="AM402" s="183"/>
      <c r="AN402" s="183"/>
    </row>
    <row r="403" spans="2:40" x14ac:dyDescent="0.25">
      <c r="B403" s="1"/>
      <c r="C403" s="1"/>
      <c r="D403" s="1"/>
      <c r="E403" s="1"/>
      <c r="F403" s="456"/>
      <c r="G403" s="1"/>
      <c r="H403" s="456"/>
      <c r="K403" s="1"/>
      <c r="L403" s="1"/>
      <c r="M403" s="1"/>
      <c r="N403" s="1"/>
      <c r="O403" s="1"/>
      <c r="P403" s="1"/>
      <c r="Q403" s="1"/>
      <c r="T403" s="1"/>
      <c r="U403" s="1"/>
      <c r="V403" s="1"/>
      <c r="W403" s="1"/>
      <c r="X403" s="1"/>
      <c r="Y403" s="1"/>
      <c r="Z403" s="1"/>
      <c r="AA403" s="1"/>
      <c r="AB403" s="1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</row>
    <row r="404" spans="2:40" x14ac:dyDescent="0.25">
      <c r="B404" s="932" t="s">
        <v>5</v>
      </c>
      <c r="C404" s="721" t="s">
        <v>80</v>
      </c>
      <c r="D404" s="722"/>
      <c r="E404" s="723"/>
      <c r="F404" s="724"/>
      <c r="G404" s="722"/>
      <c r="H404" s="725"/>
      <c r="K404" s="932" t="s">
        <v>5</v>
      </c>
      <c r="L404" s="721" t="s">
        <v>80</v>
      </c>
      <c r="M404" s="722"/>
      <c r="N404" s="723"/>
      <c r="O404" s="724"/>
      <c r="P404" s="722"/>
      <c r="Q404" s="725"/>
      <c r="T404" s="771" t="s">
        <v>5</v>
      </c>
      <c r="U404" s="721" t="s">
        <v>80</v>
      </c>
      <c r="V404" s="722"/>
      <c r="W404" s="723"/>
      <c r="X404" s="723"/>
      <c r="Y404" s="724"/>
      <c r="Z404" s="722"/>
      <c r="AA404" s="722"/>
      <c r="AB404" s="725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</row>
    <row r="405" spans="2:40" x14ac:dyDescent="0.25">
      <c r="B405" s="930"/>
      <c r="C405" s="932" t="s">
        <v>81</v>
      </c>
      <c r="D405" s="929" t="s">
        <v>173</v>
      </c>
      <c r="E405" s="874" t="s">
        <v>118</v>
      </c>
      <c r="F405" s="937"/>
      <c r="G405" s="26" t="s">
        <v>3</v>
      </c>
      <c r="H405" s="23" t="s">
        <v>4</v>
      </c>
      <c r="K405" s="930"/>
      <c r="L405" s="5" t="s">
        <v>81</v>
      </c>
      <c r="M405" s="929" t="s">
        <v>173</v>
      </c>
      <c r="N405" s="874" t="s">
        <v>118</v>
      </c>
      <c r="O405" s="937"/>
      <c r="P405" s="26" t="s">
        <v>3</v>
      </c>
      <c r="Q405" s="23" t="s">
        <v>4</v>
      </c>
      <c r="T405" s="934"/>
      <c r="U405" s="932" t="s">
        <v>81</v>
      </c>
      <c r="V405" s="929" t="s">
        <v>173</v>
      </c>
      <c r="W405" s="874" t="s">
        <v>118</v>
      </c>
      <c r="X405" s="937"/>
      <c r="Y405" s="874" t="s">
        <v>3</v>
      </c>
      <c r="Z405" s="939"/>
      <c r="AA405" s="940" t="s">
        <v>4</v>
      </c>
      <c r="AB405" s="940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</row>
    <row r="406" spans="2:40" x14ac:dyDescent="0.25">
      <c r="B406" s="931"/>
      <c r="C406" s="931"/>
      <c r="D406" s="936"/>
      <c r="E406" s="875"/>
      <c r="F406" s="938"/>
      <c r="G406" s="27" t="s">
        <v>7</v>
      </c>
      <c r="H406" s="24" t="s">
        <v>7</v>
      </c>
      <c r="K406" s="931"/>
      <c r="L406" s="8"/>
      <c r="M406" s="936"/>
      <c r="N406" s="875"/>
      <c r="O406" s="938"/>
      <c r="P406" s="27" t="s">
        <v>7</v>
      </c>
      <c r="Q406" s="24" t="s">
        <v>7</v>
      </c>
      <c r="T406" s="935"/>
      <c r="U406" s="931"/>
      <c r="V406" s="936"/>
      <c r="W406" s="875"/>
      <c r="X406" s="938"/>
      <c r="Y406" s="40" t="s">
        <v>196</v>
      </c>
      <c r="Z406" s="40" t="s">
        <v>7</v>
      </c>
      <c r="AA406" s="40" t="s">
        <v>196</v>
      </c>
      <c r="AB406" s="40" t="s">
        <v>7</v>
      </c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</row>
    <row r="407" spans="2:40" x14ac:dyDescent="0.25">
      <c r="B407" s="11">
        <v>1</v>
      </c>
      <c r="C407" s="11">
        <v>2</v>
      </c>
      <c r="D407" s="11" t="s">
        <v>111</v>
      </c>
      <c r="E407" s="735" t="s">
        <v>115</v>
      </c>
      <c r="F407" s="736"/>
      <c r="G407" s="11" t="s">
        <v>116</v>
      </c>
      <c r="H407" s="22" t="s">
        <v>117</v>
      </c>
      <c r="K407" s="11">
        <v>1</v>
      </c>
      <c r="L407" s="11">
        <v>2</v>
      </c>
      <c r="M407" s="11" t="s">
        <v>111</v>
      </c>
      <c r="N407" s="735" t="s">
        <v>115</v>
      </c>
      <c r="O407" s="736"/>
      <c r="P407" s="11" t="s">
        <v>116</v>
      </c>
      <c r="Q407" s="22" t="s">
        <v>117</v>
      </c>
      <c r="T407" s="11">
        <v>1</v>
      </c>
      <c r="U407" s="11">
        <v>2</v>
      </c>
      <c r="V407" s="11" t="s">
        <v>111</v>
      </c>
      <c r="W407" s="944" t="s">
        <v>115</v>
      </c>
      <c r="X407" s="945"/>
      <c r="Y407" s="11" t="s">
        <v>201</v>
      </c>
      <c r="Z407" s="11" t="s">
        <v>116</v>
      </c>
      <c r="AA407" s="11" t="s">
        <v>200</v>
      </c>
      <c r="AB407" s="22" t="s">
        <v>117</v>
      </c>
      <c r="AC407" s="183"/>
      <c r="AD407" s="183"/>
      <c r="AE407" s="183"/>
      <c r="AF407" s="183"/>
      <c r="AG407" s="183"/>
      <c r="AH407" s="183"/>
      <c r="AI407" s="183"/>
      <c r="AJ407" s="183"/>
      <c r="AK407" s="183"/>
      <c r="AL407" s="183"/>
      <c r="AM407" s="183"/>
      <c r="AN407" s="183"/>
    </row>
    <row r="408" spans="2:40" x14ac:dyDescent="0.25">
      <c r="B408" s="12" t="s">
        <v>82</v>
      </c>
      <c r="C408" s="13" t="s">
        <v>127</v>
      </c>
      <c r="D408" s="13" t="s">
        <v>83</v>
      </c>
      <c r="E408" s="732" t="s">
        <v>120</v>
      </c>
      <c r="F408" s="733"/>
      <c r="G408" s="171">
        <f>IF(G414=0,0,G409/G414)</f>
        <v>0</v>
      </c>
      <c r="H408" s="172">
        <f>IF(H414=0,0,H409/H414)</f>
        <v>0</v>
      </c>
      <c r="K408" s="12" t="s">
        <v>82</v>
      </c>
      <c r="L408" s="13" t="s">
        <v>127</v>
      </c>
      <c r="M408" s="13" t="s">
        <v>83</v>
      </c>
      <c r="N408" s="732" t="s">
        <v>120</v>
      </c>
      <c r="O408" s="733"/>
      <c r="P408" s="171">
        <f>IF(P414=0,0,P409/P414)</f>
        <v>0</v>
      </c>
      <c r="Q408" s="172">
        <f>IF(Q414=0,0,Q409/Q414)</f>
        <v>0</v>
      </c>
      <c r="T408" s="12" t="s">
        <v>82</v>
      </c>
      <c r="U408" s="13" t="s">
        <v>127</v>
      </c>
      <c r="V408" s="13" t="s">
        <v>83</v>
      </c>
      <c r="W408" s="13" t="s">
        <v>120</v>
      </c>
      <c r="X408" s="101"/>
      <c r="Y408" s="171">
        <f t="shared" ref="Y408:AB408" si="171">IF(Y414=0,0,Y409/Y414)</f>
        <v>0</v>
      </c>
      <c r="Z408" s="171">
        <f t="shared" si="171"/>
        <v>0</v>
      </c>
      <c r="AA408" s="171">
        <f t="shared" si="171"/>
        <v>0</v>
      </c>
      <c r="AB408" s="172">
        <f t="shared" si="171"/>
        <v>0</v>
      </c>
      <c r="AC408" s="183"/>
      <c r="AD408" s="183"/>
      <c r="AE408" s="183"/>
      <c r="AF408" s="183"/>
      <c r="AG408" s="183"/>
      <c r="AH408" s="183"/>
      <c r="AI408" s="183"/>
      <c r="AJ408" s="183"/>
      <c r="AK408" s="183"/>
      <c r="AL408" s="183"/>
      <c r="AM408" s="183"/>
      <c r="AN408" s="183"/>
    </row>
    <row r="409" spans="2:40" x14ac:dyDescent="0.25">
      <c r="B409" s="12" t="s">
        <v>84</v>
      </c>
      <c r="C409" s="13" t="s">
        <v>85</v>
      </c>
      <c r="D409" s="13" t="s">
        <v>10</v>
      </c>
      <c r="E409" s="732" t="s">
        <v>121</v>
      </c>
      <c r="F409" s="733"/>
      <c r="G409" s="448">
        <f>F391</f>
        <v>0</v>
      </c>
      <c r="H409" s="449">
        <f>H391</f>
        <v>0</v>
      </c>
      <c r="K409" s="12" t="s">
        <v>84</v>
      </c>
      <c r="L409" s="13" t="s">
        <v>85</v>
      </c>
      <c r="M409" s="13" t="s">
        <v>10</v>
      </c>
      <c r="N409" s="732" t="s">
        <v>121</v>
      </c>
      <c r="O409" s="733"/>
      <c r="P409" s="448">
        <f>O391</f>
        <v>0</v>
      </c>
      <c r="Q409" s="449">
        <f>Q391</f>
        <v>0</v>
      </c>
      <c r="T409" s="12" t="s">
        <v>84</v>
      </c>
      <c r="U409" s="13" t="s">
        <v>85</v>
      </c>
      <c r="V409" s="13" t="s">
        <v>10</v>
      </c>
      <c r="W409" s="13" t="s">
        <v>121</v>
      </c>
      <c r="X409" s="101"/>
      <c r="Y409" s="14">
        <f>W391</f>
        <v>0</v>
      </c>
      <c r="Z409" s="14">
        <f>X391</f>
        <v>0</v>
      </c>
      <c r="AA409" s="14">
        <f>Z391</f>
        <v>0</v>
      </c>
      <c r="AB409" s="15">
        <f>AA391</f>
        <v>0</v>
      </c>
      <c r="AC409" s="183"/>
      <c r="AD409" s="183"/>
      <c r="AE409" s="183"/>
      <c r="AF409" s="183"/>
      <c r="AG409" s="183"/>
      <c r="AH409" s="183"/>
      <c r="AI409" s="183"/>
      <c r="AJ409" s="183"/>
      <c r="AK409" s="183"/>
      <c r="AL409" s="183"/>
      <c r="AM409" s="183"/>
      <c r="AN409" s="183"/>
    </row>
    <row r="410" spans="2:40" x14ac:dyDescent="0.25">
      <c r="B410" s="12" t="s">
        <v>86</v>
      </c>
      <c r="C410" s="13" t="s">
        <v>87</v>
      </c>
      <c r="D410" s="13" t="s">
        <v>10</v>
      </c>
      <c r="E410" s="732"/>
      <c r="F410" s="733"/>
      <c r="G410" s="448">
        <f>IF(YEAR(Postup!$H$25)&gt;$D354,Provozování!AI$85,IF(AND(DAY(Postup!$H$25)=31,MONTH(Postup!$H$25)=12,YEAR(Postup!$H$25)=$D$354),Provozování!AI$85,IF(YEAR(Postup!$H$25)=$D$354,Provozování!$BL$85,0)))</f>
        <v>0</v>
      </c>
      <c r="H410" s="449">
        <f>IF(YEAR(Postup!$H$25)&gt;$D$354,Provozování!AJ$85,IF(AND(DAY(Postup!$H$25)=31,MONTH(Postup!$H$25)=12,YEAR(Postup!$H$25)=$D$354),Provozování!AJ$85,IF(YEAR(Postup!$H$25)=$D$354,Provozování!$BM$85,0)))</f>
        <v>0</v>
      </c>
      <c r="K410" s="12" t="s">
        <v>86</v>
      </c>
      <c r="L410" s="13" t="s">
        <v>87</v>
      </c>
      <c r="M410" s="13" t="s">
        <v>10</v>
      </c>
      <c r="N410" s="732"/>
      <c r="O410" s="733"/>
      <c r="P410" s="448">
        <f>IF(Provozování!$AK$16="Neaktivní",0,Provozování!AK$85)</f>
        <v>0</v>
      </c>
      <c r="Q410" s="449">
        <f>IF(Provozování!AK$16="Neaktivní",0,Provozování!AL$85)</f>
        <v>0</v>
      </c>
      <c r="T410" s="12" t="s">
        <v>86</v>
      </c>
      <c r="U410" s="13" t="s">
        <v>87</v>
      </c>
      <c r="V410" s="13" t="s">
        <v>10</v>
      </c>
      <c r="W410" s="13"/>
      <c r="X410" s="101"/>
      <c r="Y410" s="595">
        <v>0</v>
      </c>
      <c r="Z410" s="14">
        <f>IF(Provozování!$AK$16="Neaktivní",G410,G410*Výpočty!$M$58+P410)</f>
        <v>0</v>
      </c>
      <c r="AA410" s="595">
        <v>0</v>
      </c>
      <c r="AB410" s="15">
        <f>IF(Provozování!$AK$16="Neaktivní",H410,H410*Výpočty!$M$58+Q410)</f>
        <v>0</v>
      </c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</row>
    <row r="411" spans="2:40" x14ac:dyDescent="0.25">
      <c r="B411" s="12" t="s">
        <v>88</v>
      </c>
      <c r="C411" s="21" t="s">
        <v>89</v>
      </c>
      <c r="D411" s="13" t="s">
        <v>90</v>
      </c>
      <c r="E411" s="732" t="s">
        <v>123</v>
      </c>
      <c r="F411" s="733"/>
      <c r="G411" s="171">
        <f>IF(G409=0,0,G410/G409*100)</f>
        <v>0</v>
      </c>
      <c r="H411" s="172">
        <f>IF(H409=0,0,H410/H409*100)</f>
        <v>0</v>
      </c>
      <c r="K411" s="12" t="s">
        <v>88</v>
      </c>
      <c r="L411" s="21" t="s">
        <v>89</v>
      </c>
      <c r="M411" s="13" t="s">
        <v>90</v>
      </c>
      <c r="N411" s="732" t="s">
        <v>123</v>
      </c>
      <c r="O411" s="733"/>
      <c r="P411" s="171">
        <f>IF(P409=0,0,P410/P409*100)</f>
        <v>0</v>
      </c>
      <c r="Q411" s="172">
        <f>IF(Q409=0,0,Q410/Q409*100)</f>
        <v>0</v>
      </c>
      <c r="T411" s="12" t="s">
        <v>88</v>
      </c>
      <c r="U411" s="21" t="s">
        <v>89</v>
      </c>
      <c r="V411" s="13" t="s">
        <v>90</v>
      </c>
      <c r="W411" s="13" t="s">
        <v>123</v>
      </c>
      <c r="X411" s="101"/>
      <c r="Y411" s="171">
        <f t="shared" ref="Y411:AB411" si="172">IF(Y409=0,0,Y410/Y409*100)</f>
        <v>0</v>
      </c>
      <c r="Z411" s="171">
        <f t="shared" si="172"/>
        <v>0</v>
      </c>
      <c r="AA411" s="171">
        <f t="shared" si="172"/>
        <v>0</v>
      </c>
      <c r="AB411" s="172">
        <f t="shared" si="172"/>
        <v>0</v>
      </c>
      <c r="AC411" s="183"/>
      <c r="AD411" s="183"/>
      <c r="AE411" s="183"/>
      <c r="AF411" s="183"/>
      <c r="AG411" s="183"/>
      <c r="AH411" s="183"/>
      <c r="AI411" s="183"/>
      <c r="AJ411" s="183"/>
      <c r="AK411" s="183"/>
      <c r="AL411" s="183"/>
      <c r="AM411" s="183"/>
      <c r="AN411" s="183"/>
    </row>
    <row r="412" spans="2:40" x14ac:dyDescent="0.25">
      <c r="B412" s="12" t="s">
        <v>91</v>
      </c>
      <c r="C412" s="21" t="s">
        <v>92</v>
      </c>
      <c r="D412" s="13" t="s">
        <v>10</v>
      </c>
      <c r="E412" s="732"/>
      <c r="F412" s="733"/>
      <c r="G412" s="411">
        <v>0</v>
      </c>
      <c r="H412" s="136">
        <v>0</v>
      </c>
      <c r="K412" s="12" t="s">
        <v>91</v>
      </c>
      <c r="L412" s="21" t="s">
        <v>92</v>
      </c>
      <c r="M412" s="13" t="s">
        <v>10</v>
      </c>
      <c r="N412" s="732"/>
      <c r="O412" s="733"/>
      <c r="P412" s="411">
        <v>0</v>
      </c>
      <c r="Q412" s="136">
        <v>0</v>
      </c>
      <c r="T412" s="12" t="s">
        <v>91</v>
      </c>
      <c r="U412" s="21" t="s">
        <v>92</v>
      </c>
      <c r="V412" s="13" t="s">
        <v>10</v>
      </c>
      <c r="W412" s="13"/>
      <c r="X412" s="101"/>
      <c r="Y412" s="445">
        <v>0</v>
      </c>
      <c r="Z412" s="445">
        <v>0</v>
      </c>
      <c r="AA412" s="445">
        <v>0</v>
      </c>
      <c r="AB412" s="442">
        <v>0</v>
      </c>
      <c r="AC412" s="183"/>
      <c r="AD412" s="183"/>
      <c r="AE412" s="183"/>
      <c r="AF412" s="183"/>
      <c r="AG412" s="183"/>
      <c r="AH412" s="183"/>
      <c r="AI412" s="183"/>
      <c r="AJ412" s="183"/>
      <c r="AK412" s="183"/>
      <c r="AL412" s="183"/>
      <c r="AM412" s="183"/>
      <c r="AN412" s="183"/>
    </row>
    <row r="413" spans="2:40" x14ac:dyDescent="0.25">
      <c r="B413" s="12" t="s">
        <v>93</v>
      </c>
      <c r="C413" s="13" t="s">
        <v>94</v>
      </c>
      <c r="D413" s="13" t="s">
        <v>10</v>
      </c>
      <c r="E413" s="732" t="s">
        <v>122</v>
      </c>
      <c r="F413" s="733"/>
      <c r="G413" s="448">
        <f>G409+G410</f>
        <v>0</v>
      </c>
      <c r="H413" s="449">
        <f>H409+H410</f>
        <v>0</v>
      </c>
      <c r="K413" s="12" t="s">
        <v>93</v>
      </c>
      <c r="L413" s="13" t="s">
        <v>94</v>
      </c>
      <c r="M413" s="13" t="s">
        <v>10</v>
      </c>
      <c r="N413" s="732" t="s">
        <v>122</v>
      </c>
      <c r="O413" s="733"/>
      <c r="P413" s="448">
        <f>P409+P410</f>
        <v>0</v>
      </c>
      <c r="Q413" s="449">
        <f>Q409+Q410</f>
        <v>0</v>
      </c>
      <c r="T413" s="12" t="s">
        <v>93</v>
      </c>
      <c r="U413" s="13" t="s">
        <v>94</v>
      </c>
      <c r="V413" s="13" t="s">
        <v>10</v>
      </c>
      <c r="W413" s="13" t="s">
        <v>122</v>
      </c>
      <c r="X413" s="101"/>
      <c r="Y413" s="448">
        <f t="shared" ref="Y413:AB413" si="173">Y409+Y410</f>
        <v>0</v>
      </c>
      <c r="Z413" s="448">
        <f t="shared" si="173"/>
        <v>0</v>
      </c>
      <c r="AA413" s="448">
        <f t="shared" si="173"/>
        <v>0</v>
      </c>
      <c r="AB413" s="449">
        <f t="shared" si="173"/>
        <v>0</v>
      </c>
      <c r="AC413" s="183"/>
      <c r="AD413" s="183"/>
      <c r="AE413" s="183"/>
      <c r="AF413" s="183"/>
      <c r="AG413" s="183"/>
      <c r="AH413" s="183"/>
      <c r="AI413" s="183"/>
      <c r="AJ413" s="183"/>
      <c r="AK413" s="183"/>
      <c r="AL413" s="183"/>
      <c r="AM413" s="183"/>
      <c r="AN413" s="183"/>
    </row>
    <row r="414" spans="2:40" x14ac:dyDescent="0.25">
      <c r="B414" s="12" t="s">
        <v>95</v>
      </c>
      <c r="C414" s="13" t="s">
        <v>96</v>
      </c>
      <c r="D414" s="13" t="s">
        <v>66</v>
      </c>
      <c r="E414" s="732" t="s">
        <v>124</v>
      </c>
      <c r="F414" s="733"/>
      <c r="G414" s="448">
        <f>F395</f>
        <v>0</v>
      </c>
      <c r="H414" s="449">
        <f>H397+H399</f>
        <v>0</v>
      </c>
      <c r="K414" s="12" t="s">
        <v>95</v>
      </c>
      <c r="L414" s="13" t="s">
        <v>96</v>
      </c>
      <c r="M414" s="13" t="s">
        <v>66</v>
      </c>
      <c r="N414" s="732" t="s">
        <v>124</v>
      </c>
      <c r="O414" s="733"/>
      <c r="P414" s="448">
        <f>O395</f>
        <v>0</v>
      </c>
      <c r="Q414" s="449">
        <f>Q397+Q399</f>
        <v>0</v>
      </c>
      <c r="T414" s="12" t="s">
        <v>95</v>
      </c>
      <c r="U414" s="13" t="s">
        <v>96</v>
      </c>
      <c r="V414" s="13" t="s">
        <v>66</v>
      </c>
      <c r="W414" s="13" t="s">
        <v>124</v>
      </c>
      <c r="X414" s="101"/>
      <c r="Y414" s="14">
        <f>W395</f>
        <v>0</v>
      </c>
      <c r="Z414" s="14">
        <f>X395</f>
        <v>0</v>
      </c>
      <c r="AA414" s="14">
        <f>Z397+Z399</f>
        <v>0</v>
      </c>
      <c r="AB414" s="15">
        <f>AA397+AA399</f>
        <v>0</v>
      </c>
      <c r="AC414" s="183"/>
      <c r="AD414" s="183"/>
      <c r="AE414" s="183"/>
      <c r="AF414" s="183"/>
      <c r="AG414" s="183"/>
      <c r="AH414" s="183"/>
      <c r="AI414" s="183"/>
      <c r="AJ414" s="183"/>
      <c r="AK414" s="183"/>
      <c r="AL414" s="183"/>
      <c r="AM414" s="183"/>
      <c r="AN414" s="183"/>
    </row>
    <row r="415" spans="2:40" x14ac:dyDescent="0.25">
      <c r="B415" s="12" t="s">
        <v>97</v>
      </c>
      <c r="C415" s="13" t="s">
        <v>98</v>
      </c>
      <c r="D415" s="13" t="s">
        <v>83</v>
      </c>
      <c r="E415" s="732" t="s">
        <v>125</v>
      </c>
      <c r="F415" s="733"/>
      <c r="G415" s="171">
        <f>IF(G414=0,0,G413/G414)</f>
        <v>0</v>
      </c>
      <c r="H415" s="172">
        <f>IF(H414=0,0,H413/H414)</f>
        <v>0</v>
      </c>
      <c r="K415" s="12" t="s">
        <v>97</v>
      </c>
      <c r="L415" s="13" t="s">
        <v>98</v>
      </c>
      <c r="M415" s="13" t="s">
        <v>83</v>
      </c>
      <c r="N415" s="732" t="s">
        <v>125</v>
      </c>
      <c r="O415" s="733"/>
      <c r="P415" s="171">
        <f>IF(P414=0,0,P413/P414)</f>
        <v>0</v>
      </c>
      <c r="Q415" s="172">
        <f>IF(Q414=0,0,Q413/Q414)</f>
        <v>0</v>
      </c>
      <c r="T415" s="12" t="s">
        <v>97</v>
      </c>
      <c r="U415" s="13" t="s">
        <v>98</v>
      </c>
      <c r="V415" s="13" t="s">
        <v>83</v>
      </c>
      <c r="W415" s="13" t="s">
        <v>125</v>
      </c>
      <c r="X415" s="101"/>
      <c r="Y415" s="171">
        <f t="shared" ref="Y415:AB415" si="174">IF(Y414=0,0,Y413/Y414)</f>
        <v>0</v>
      </c>
      <c r="Z415" s="171">
        <f t="shared" si="174"/>
        <v>0</v>
      </c>
      <c r="AA415" s="171">
        <f t="shared" si="174"/>
        <v>0</v>
      </c>
      <c r="AB415" s="172">
        <f t="shared" si="174"/>
        <v>0</v>
      </c>
      <c r="AC415" s="183"/>
      <c r="AD415" s="183"/>
      <c r="AE415" s="183"/>
      <c r="AF415" s="183"/>
      <c r="AG415" s="183"/>
      <c r="AH415" s="183"/>
      <c r="AI415" s="183"/>
      <c r="AJ415" s="183"/>
      <c r="AK415" s="183"/>
      <c r="AL415" s="183"/>
      <c r="AM415" s="183"/>
      <c r="AN415" s="183"/>
    </row>
    <row r="416" spans="2:40" x14ac:dyDescent="0.25">
      <c r="B416" s="12" t="s">
        <v>99</v>
      </c>
      <c r="C416" s="13" t="str">
        <f>CONCATENATE("CENA pro vodné, stočné + ",Provozování!AI$93*100,"% DPH")</f>
        <v>CENA pro vodné, stočné + 15% DPH</v>
      </c>
      <c r="D416" s="13" t="s">
        <v>83</v>
      </c>
      <c r="E416" s="732" t="s">
        <v>126</v>
      </c>
      <c r="F416" s="733"/>
      <c r="G416" s="171">
        <f>G415*(1+Provozování!AI$93)</f>
        <v>0</v>
      </c>
      <c r="H416" s="172">
        <f>H415*(1+Provozování!AI$93)</f>
        <v>0</v>
      </c>
      <c r="K416" s="12" t="s">
        <v>99</v>
      </c>
      <c r="L416" s="13" t="str">
        <f>C416</f>
        <v>CENA pro vodné, stočné + 15% DPH</v>
      </c>
      <c r="M416" s="13" t="s">
        <v>83</v>
      </c>
      <c r="N416" s="732" t="s">
        <v>126</v>
      </c>
      <c r="O416" s="733"/>
      <c r="P416" s="171">
        <f>P415*(1+Provozování!AI$93)</f>
        <v>0</v>
      </c>
      <c r="Q416" s="172">
        <f>Q415*(1+Provozování!AJ$93)</f>
        <v>0</v>
      </c>
      <c r="T416" s="12" t="s">
        <v>99</v>
      </c>
      <c r="U416" s="13" t="str">
        <f>C416</f>
        <v>CENA pro vodné, stočné + 15% DPH</v>
      </c>
      <c r="V416" s="13" t="s">
        <v>83</v>
      </c>
      <c r="W416" s="13" t="s">
        <v>126</v>
      </c>
      <c r="X416" s="101"/>
      <c r="Y416" s="171">
        <f>Y415*(1+Provozování!AI$93)</f>
        <v>0</v>
      </c>
      <c r="Z416" s="171">
        <f>Z415*(1+Provozování!AI$93)</f>
        <v>0</v>
      </c>
      <c r="AA416" s="171">
        <f>AA415*(1+Provozování!AJ$93)</f>
        <v>0</v>
      </c>
      <c r="AB416" s="172">
        <f>AB415*(1+Provozování!AJ$93)</f>
        <v>0</v>
      </c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</row>
    <row r="417" spans="1:40" x14ac:dyDescent="0.25">
      <c r="T417" s="916" t="s">
        <v>203</v>
      </c>
      <c r="U417" s="916" t="s">
        <v>202</v>
      </c>
      <c r="V417" s="744" t="s">
        <v>10</v>
      </c>
      <c r="W417" s="919" t="s">
        <v>204</v>
      </c>
      <c r="X417" s="732"/>
      <c r="Y417" s="102" t="s">
        <v>206</v>
      </c>
      <c r="Z417" s="105" t="s">
        <v>207</v>
      </c>
      <c r="AA417" s="102" t="s">
        <v>206</v>
      </c>
      <c r="AB417" s="105" t="s">
        <v>207</v>
      </c>
      <c r="AC417" s="183"/>
      <c r="AD417" s="183"/>
      <c r="AE417" s="183"/>
      <c r="AF417" s="183"/>
      <c r="AG417" s="183"/>
      <c r="AH417" s="183"/>
      <c r="AI417" s="183"/>
      <c r="AJ417" s="183"/>
      <c r="AK417" s="183"/>
      <c r="AL417" s="183"/>
      <c r="AM417" s="183"/>
      <c r="AN417" s="183"/>
    </row>
    <row r="418" spans="1:40" x14ac:dyDescent="0.25">
      <c r="B418" s="500" t="s">
        <v>354</v>
      </c>
      <c r="T418" s="917"/>
      <c r="U418" s="917"/>
      <c r="V418" s="745"/>
      <c r="W418" s="920">
        <v>0</v>
      </c>
      <c r="X418" s="921"/>
      <c r="Y418" s="103">
        <f>W354</f>
        <v>2025</v>
      </c>
      <c r="Z418" s="103">
        <f>W354</f>
        <v>2025</v>
      </c>
      <c r="AA418" s="103">
        <f>W354</f>
        <v>2025</v>
      </c>
      <c r="AB418" s="103">
        <f>W354</f>
        <v>2025</v>
      </c>
      <c r="AC418" s="183"/>
      <c r="AD418" s="183"/>
      <c r="AE418" s="183"/>
      <c r="AF418" s="183"/>
      <c r="AG418" s="183"/>
      <c r="AH418" s="183"/>
      <c r="AI418" s="183"/>
      <c r="AJ418" s="183"/>
      <c r="AK418" s="183"/>
      <c r="AL418" s="183"/>
      <c r="AM418" s="183"/>
      <c r="AN418" s="183"/>
    </row>
    <row r="419" spans="1:40" x14ac:dyDescent="0.25">
      <c r="B419" s="500" t="s">
        <v>355</v>
      </c>
      <c r="T419" s="917"/>
      <c r="U419" s="917"/>
      <c r="V419" s="745"/>
      <c r="W419" s="919" t="s">
        <v>205</v>
      </c>
      <c r="X419" s="732"/>
      <c r="Y419" s="104" t="s">
        <v>208</v>
      </c>
      <c r="Z419" s="104" t="s">
        <v>208</v>
      </c>
      <c r="AA419" s="104" t="s">
        <v>209</v>
      </c>
      <c r="AB419" s="104" t="s">
        <v>209</v>
      </c>
      <c r="AC419" s="183"/>
      <c r="AD419" s="183"/>
      <c r="AE419" s="183"/>
      <c r="AF419" s="183"/>
      <c r="AG419" s="183"/>
      <c r="AH419" s="183"/>
      <c r="AI419" s="183"/>
      <c r="AJ419" s="183"/>
      <c r="AK419" s="183"/>
      <c r="AL419" s="183"/>
      <c r="AM419" s="183"/>
      <c r="AN419" s="183"/>
    </row>
    <row r="420" spans="1:40" x14ac:dyDescent="0.25">
      <c r="T420" s="918"/>
      <c r="U420" s="918"/>
      <c r="V420" s="746"/>
      <c r="W420" s="922">
        <v>0</v>
      </c>
      <c r="X420" s="920"/>
      <c r="Y420" s="597">
        <v>0</v>
      </c>
      <c r="Z420" s="597">
        <v>0</v>
      </c>
      <c r="AA420" s="597">
        <v>0</v>
      </c>
      <c r="AB420" s="597">
        <v>0</v>
      </c>
      <c r="AC420" s="183"/>
      <c r="AD420" s="183"/>
      <c r="AE420" s="183"/>
      <c r="AF420" s="183"/>
      <c r="AG420" s="183"/>
      <c r="AH420" s="183"/>
      <c r="AI420" s="183"/>
      <c r="AJ420" s="183"/>
      <c r="AK420" s="183"/>
      <c r="AL420" s="183"/>
      <c r="AM420" s="183"/>
      <c r="AN420" s="183"/>
    </row>
    <row r="421" spans="1:40" x14ac:dyDescent="0.25">
      <c r="A421" s="342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</row>
    <row r="422" spans="1:40" x14ac:dyDescent="0.25">
      <c r="B422" s="726" t="s">
        <v>393</v>
      </c>
      <c r="C422" s="727"/>
      <c r="D422" s="727"/>
      <c r="E422" s="727"/>
      <c r="F422" s="727"/>
      <c r="G422" s="727"/>
      <c r="H422" s="727"/>
      <c r="K422" s="726" t="s">
        <v>394</v>
      </c>
      <c r="L422" s="727"/>
      <c r="M422" s="727"/>
      <c r="N422" s="727"/>
      <c r="O422" s="727"/>
      <c r="P422" s="727"/>
      <c r="Q422" s="727"/>
      <c r="T422" s="726" t="s">
        <v>210</v>
      </c>
      <c r="U422" s="727"/>
      <c r="V422" s="727"/>
      <c r="W422" s="727"/>
      <c r="X422" s="727"/>
      <c r="Y422" s="727"/>
      <c r="Z422" s="727"/>
      <c r="AA422" s="727"/>
      <c r="AB422" s="727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</row>
    <row r="423" spans="1:40" x14ac:dyDescent="0.25">
      <c r="C423" s="362"/>
      <c r="E423" s="25"/>
      <c r="F423" s="25"/>
      <c r="L423" s="25"/>
      <c r="N423" s="25"/>
      <c r="T423" s="950" t="s">
        <v>395</v>
      </c>
      <c r="U423" s="950"/>
      <c r="V423" s="950"/>
      <c r="W423" s="950"/>
      <c r="X423" s="950"/>
      <c r="Y423" s="950"/>
      <c r="Z423" s="950"/>
      <c r="AA423" s="950"/>
      <c r="AB423" s="950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</row>
    <row r="424" spans="1:40" x14ac:dyDescent="0.25">
      <c r="C424" s="362" t="s">
        <v>119</v>
      </c>
      <c r="D424" s="364">
        <f>D354+1</f>
        <v>2026</v>
      </c>
      <c r="E424" s="25"/>
      <c r="F424" s="362" t="s">
        <v>278</v>
      </c>
      <c r="G424" s="365" t="str">
        <f>Výpočty!N$56</f>
        <v>-</v>
      </c>
      <c r="H424" s="365" t="str">
        <f>IF(Výpočty!N$57="-"," ",CONCATENATE("- ",DAY(Výpočty!N$57),".",MONTH(Výpočty!N$57),".",D424))</f>
        <v xml:space="preserve"> </v>
      </c>
      <c r="L424" s="362" t="s">
        <v>119</v>
      </c>
      <c r="M424" s="364">
        <f>D424</f>
        <v>2026</v>
      </c>
      <c r="O424" s="362" t="s">
        <v>278</v>
      </c>
      <c r="P424" s="475" t="str">
        <f>Výpočty!N$52</f>
        <v>-</v>
      </c>
      <c r="Q424" s="475" t="str">
        <f>IF(P424="-"," ",H424)</f>
        <v xml:space="preserve"> </v>
      </c>
      <c r="T424" s="441"/>
      <c r="U424" s="441"/>
      <c r="V424" s="451" t="s">
        <v>195</v>
      </c>
      <c r="W424" s="364">
        <f>D424</f>
        <v>2026</v>
      </c>
      <c r="Z424" s="362" t="s">
        <v>278</v>
      </c>
      <c r="AA424" s="365" t="str">
        <f>G424</f>
        <v>-</v>
      </c>
      <c r="AB424" s="365" t="str">
        <f>H424</f>
        <v xml:space="preserve"> </v>
      </c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</row>
    <row r="425" spans="1:40" x14ac:dyDescent="0.25">
      <c r="B425" s="13" t="s">
        <v>74</v>
      </c>
      <c r="C425" s="13" t="s">
        <v>105</v>
      </c>
      <c r="D425" s="715" t="str">
        <f t="shared" ref="D425:D430" si="175">D355</f>
        <v/>
      </c>
      <c r="E425" s="716"/>
      <c r="F425" s="716"/>
      <c r="G425" s="716"/>
      <c r="H425" s="717"/>
      <c r="K425" s="13" t="s">
        <v>74</v>
      </c>
      <c r="L425" s="13" t="s">
        <v>105</v>
      </c>
      <c r="M425" s="949" t="str">
        <f t="shared" ref="M425:M427" si="176">D425</f>
        <v/>
      </c>
      <c r="N425" s="738"/>
      <c r="O425" s="738"/>
      <c r="P425" s="738"/>
      <c r="Q425" s="738"/>
      <c r="T425" s="13" t="s">
        <v>74</v>
      </c>
      <c r="U425" s="13" t="s">
        <v>105</v>
      </c>
      <c r="V425" s="949" t="str">
        <f t="shared" ref="V425:V427" si="177">D425</f>
        <v/>
      </c>
      <c r="W425" s="738"/>
      <c r="X425" s="738"/>
      <c r="Y425" s="738"/>
      <c r="Z425" s="738"/>
      <c r="AA425" s="738"/>
      <c r="AB425" s="738"/>
      <c r="AC425" s="183"/>
      <c r="AD425" s="183"/>
      <c r="AK425" s="183"/>
      <c r="AL425" s="183"/>
      <c r="AM425" s="183"/>
      <c r="AN425" s="183"/>
    </row>
    <row r="426" spans="1:40" x14ac:dyDescent="0.25">
      <c r="B426" s="13" t="s">
        <v>100</v>
      </c>
      <c r="C426" s="13" t="s">
        <v>106</v>
      </c>
      <c r="D426" s="715" t="str">
        <f t="shared" si="175"/>
        <v/>
      </c>
      <c r="E426" s="716"/>
      <c r="F426" s="716"/>
      <c r="G426" s="716"/>
      <c r="H426" s="717"/>
      <c r="K426" s="13" t="s">
        <v>100</v>
      </c>
      <c r="L426" s="13" t="s">
        <v>106</v>
      </c>
      <c r="M426" s="941" t="str">
        <f t="shared" si="176"/>
        <v/>
      </c>
      <c r="N426" s="942"/>
      <c r="O426" s="942"/>
      <c r="P426" s="942"/>
      <c r="Q426" s="943"/>
      <c r="T426" s="13" t="s">
        <v>100</v>
      </c>
      <c r="U426" s="13" t="s">
        <v>106</v>
      </c>
      <c r="V426" s="941" t="str">
        <f t="shared" si="177"/>
        <v/>
      </c>
      <c r="W426" s="942"/>
      <c r="X426" s="942"/>
      <c r="Y426" s="942"/>
      <c r="Z426" s="942"/>
      <c r="AA426" s="942"/>
      <c r="AB426" s="943"/>
      <c r="AC426" s="183"/>
      <c r="AD426" s="183"/>
      <c r="AK426" s="183"/>
      <c r="AL426" s="183"/>
      <c r="AM426" s="183"/>
      <c r="AN426" s="183"/>
    </row>
    <row r="427" spans="1:40" x14ac:dyDescent="0.25">
      <c r="B427" s="13" t="s">
        <v>101</v>
      </c>
      <c r="C427" s="13" t="s">
        <v>107</v>
      </c>
      <c r="D427" s="715" t="str">
        <f t="shared" si="175"/>
        <v xml:space="preserve">Město Kraslice, IČ </v>
      </c>
      <c r="E427" s="716"/>
      <c r="F427" s="716"/>
      <c r="G427" s="716"/>
      <c r="H427" s="717"/>
      <c r="K427" s="13" t="s">
        <v>101</v>
      </c>
      <c r="L427" s="13" t="s">
        <v>107</v>
      </c>
      <c r="M427" s="941" t="str">
        <f t="shared" si="176"/>
        <v xml:space="preserve">Město Kraslice, IČ </v>
      </c>
      <c r="N427" s="942"/>
      <c r="O427" s="942"/>
      <c r="P427" s="942"/>
      <c r="Q427" s="943"/>
      <c r="T427" s="13" t="s">
        <v>101</v>
      </c>
      <c r="U427" s="13" t="s">
        <v>107</v>
      </c>
      <c r="V427" s="941" t="str">
        <f t="shared" si="177"/>
        <v xml:space="preserve">Město Kraslice, IČ </v>
      </c>
      <c r="W427" s="942"/>
      <c r="X427" s="942"/>
      <c r="Y427" s="942"/>
      <c r="Z427" s="942"/>
      <c r="AA427" s="942"/>
      <c r="AB427" s="943"/>
      <c r="AC427" s="183"/>
      <c r="AD427" s="183"/>
      <c r="AK427" s="183"/>
      <c r="AL427" s="183"/>
      <c r="AM427" s="183"/>
      <c r="AN427" s="183"/>
    </row>
    <row r="428" spans="1:40" x14ac:dyDescent="0.25">
      <c r="B428" s="13" t="s">
        <v>102</v>
      </c>
      <c r="C428" s="13" t="s">
        <v>109</v>
      </c>
      <c r="D428" s="923" t="str">
        <f t="shared" si="175"/>
        <v>[vyplnit]</v>
      </c>
      <c r="E428" s="924"/>
      <c r="F428" s="924"/>
      <c r="G428" s="924"/>
      <c r="H428" s="925"/>
      <c r="K428" s="13" t="s">
        <v>102</v>
      </c>
      <c r="L428" s="13" t="s">
        <v>109</v>
      </c>
      <c r="M428" s="926" t="str">
        <f>IF($D428="[vyplnit]"," ",$D428)</f>
        <v xml:space="preserve"> </v>
      </c>
      <c r="N428" s="927"/>
      <c r="O428" s="927"/>
      <c r="P428" s="927"/>
      <c r="Q428" s="928"/>
      <c r="T428" s="13" t="s">
        <v>102</v>
      </c>
      <c r="U428" s="13" t="s">
        <v>109</v>
      </c>
      <c r="V428" s="933" t="str">
        <f>IF($D428="[vyplnit]"," ",$D428)</f>
        <v xml:space="preserve"> </v>
      </c>
      <c r="W428" s="933"/>
      <c r="X428" s="933"/>
      <c r="Y428" s="933"/>
      <c r="Z428" s="933"/>
      <c r="AA428" s="933"/>
      <c r="AB428" s="933"/>
      <c r="AC428" s="183"/>
      <c r="AD428" s="183"/>
      <c r="AK428" s="183"/>
      <c r="AL428" s="183"/>
      <c r="AM428" s="183"/>
      <c r="AN428" s="183"/>
    </row>
    <row r="429" spans="1:40" x14ac:dyDescent="0.25">
      <c r="B429" s="13" t="s">
        <v>103</v>
      </c>
      <c r="C429" s="13" t="s">
        <v>108</v>
      </c>
      <c r="D429" s="923" t="str">
        <f t="shared" si="175"/>
        <v>[vyplnit]</v>
      </c>
      <c r="E429" s="924"/>
      <c r="F429" s="924"/>
      <c r="G429" s="924"/>
      <c r="H429" s="925"/>
      <c r="K429" s="13" t="s">
        <v>103</v>
      </c>
      <c r="L429" s="13" t="s">
        <v>108</v>
      </c>
      <c r="M429" s="926" t="str">
        <f t="shared" ref="M429:M430" si="178">IF($D429="[vyplnit]"," ",$D429)</f>
        <v xml:space="preserve"> </v>
      </c>
      <c r="N429" s="927"/>
      <c r="O429" s="927"/>
      <c r="P429" s="927"/>
      <c r="Q429" s="928"/>
      <c r="T429" s="13" t="s">
        <v>103</v>
      </c>
      <c r="U429" s="13" t="s">
        <v>108</v>
      </c>
      <c r="V429" s="933" t="str">
        <f t="shared" ref="V429:V430" si="179">IF($D429="[vyplnit]"," ",$D429)</f>
        <v xml:space="preserve"> </v>
      </c>
      <c r="W429" s="933"/>
      <c r="X429" s="933"/>
      <c r="Y429" s="933"/>
      <c r="Z429" s="933"/>
      <c r="AA429" s="933"/>
      <c r="AB429" s="933"/>
      <c r="AC429" s="183"/>
      <c r="AD429" s="183"/>
      <c r="AK429" s="183"/>
      <c r="AL429" s="183"/>
      <c r="AM429" s="183"/>
      <c r="AN429" s="183"/>
    </row>
    <row r="430" spans="1:40" x14ac:dyDescent="0.25">
      <c r="B430" s="13" t="s">
        <v>104</v>
      </c>
      <c r="C430" s="13" t="s">
        <v>110</v>
      </c>
      <c r="D430" s="923" t="str">
        <f t="shared" si="175"/>
        <v>[vyplnit]</v>
      </c>
      <c r="E430" s="924"/>
      <c r="F430" s="924"/>
      <c r="G430" s="924"/>
      <c r="H430" s="925"/>
      <c r="K430" s="13" t="s">
        <v>104</v>
      </c>
      <c r="L430" s="13" t="s">
        <v>110</v>
      </c>
      <c r="M430" s="926" t="str">
        <f t="shared" si="178"/>
        <v xml:space="preserve"> </v>
      </c>
      <c r="N430" s="927"/>
      <c r="O430" s="927"/>
      <c r="P430" s="927"/>
      <c r="Q430" s="928"/>
      <c r="T430" s="13" t="s">
        <v>104</v>
      </c>
      <c r="U430" s="13" t="s">
        <v>110</v>
      </c>
      <c r="V430" s="933" t="str">
        <f t="shared" si="179"/>
        <v xml:space="preserve"> </v>
      </c>
      <c r="W430" s="933"/>
      <c r="X430" s="933"/>
      <c r="Y430" s="933"/>
      <c r="Z430" s="933"/>
      <c r="AA430" s="933"/>
      <c r="AB430" s="933"/>
      <c r="AC430" s="183"/>
      <c r="AD430" s="183"/>
      <c r="AK430" s="183"/>
      <c r="AL430" s="183"/>
      <c r="AM430" s="183"/>
      <c r="AN430" s="183"/>
    </row>
    <row r="431" spans="1:40" x14ac:dyDescent="0.25">
      <c r="AC431" s="183"/>
      <c r="AK431" s="183"/>
      <c r="AL431" s="183"/>
      <c r="AM431" s="183"/>
      <c r="AN431" s="183"/>
    </row>
    <row r="432" spans="1:40" x14ac:dyDescent="0.25">
      <c r="B432" s="932" t="s">
        <v>5</v>
      </c>
      <c r="C432" s="721" t="s">
        <v>0</v>
      </c>
      <c r="D432" s="722"/>
      <c r="E432" s="722"/>
      <c r="F432" s="722"/>
      <c r="G432" s="722"/>
      <c r="H432" s="725"/>
      <c r="K432" s="932" t="s">
        <v>5</v>
      </c>
      <c r="L432" s="721" t="s">
        <v>0</v>
      </c>
      <c r="M432" s="722"/>
      <c r="N432" s="722"/>
      <c r="O432" s="722"/>
      <c r="P432" s="722"/>
      <c r="Q432" s="725"/>
      <c r="T432" s="932" t="s">
        <v>5</v>
      </c>
      <c r="U432" s="721" t="s">
        <v>0</v>
      </c>
      <c r="V432" s="722"/>
      <c r="W432" s="722"/>
      <c r="X432" s="722"/>
      <c r="Y432" s="722"/>
      <c r="Z432" s="722"/>
      <c r="AA432" s="722"/>
      <c r="AB432" s="725"/>
      <c r="AC432" s="183"/>
      <c r="AK432" s="183"/>
      <c r="AL432" s="183"/>
      <c r="AM432" s="183"/>
      <c r="AN432" s="183"/>
    </row>
    <row r="433" spans="2:40" x14ac:dyDescent="0.25">
      <c r="B433" s="930"/>
      <c r="C433" s="932" t="s">
        <v>1</v>
      </c>
      <c r="D433" s="929" t="s">
        <v>173</v>
      </c>
      <c r="E433" s="721" t="s">
        <v>3</v>
      </c>
      <c r="F433" s="722"/>
      <c r="G433" s="721" t="s">
        <v>4</v>
      </c>
      <c r="H433" s="725"/>
      <c r="K433" s="930"/>
      <c r="L433" s="932" t="s">
        <v>1</v>
      </c>
      <c r="M433" s="929" t="s">
        <v>173</v>
      </c>
      <c r="N433" s="721" t="s">
        <v>3</v>
      </c>
      <c r="O433" s="722"/>
      <c r="P433" s="721" t="s">
        <v>4</v>
      </c>
      <c r="Q433" s="725"/>
      <c r="T433" s="930"/>
      <c r="U433" s="932" t="s">
        <v>1</v>
      </c>
      <c r="V433" s="929" t="s">
        <v>173</v>
      </c>
      <c r="W433" s="721" t="s">
        <v>3</v>
      </c>
      <c r="X433" s="722"/>
      <c r="Y433" s="722"/>
      <c r="Z433" s="721" t="s">
        <v>4</v>
      </c>
      <c r="AA433" s="722"/>
      <c r="AB433" s="725"/>
      <c r="AC433" s="183"/>
      <c r="AK433" s="183"/>
      <c r="AL433" s="183"/>
      <c r="AM433" s="183"/>
      <c r="AN433" s="183"/>
    </row>
    <row r="434" spans="2:40" x14ac:dyDescent="0.25">
      <c r="B434" s="930"/>
      <c r="C434" s="930"/>
      <c r="D434" s="930"/>
      <c r="E434" s="30">
        <f>D424-1</f>
        <v>2025</v>
      </c>
      <c r="F434" s="30">
        <f>D424</f>
        <v>2026</v>
      </c>
      <c r="G434" s="30">
        <f>D424-1</f>
        <v>2025</v>
      </c>
      <c r="H434" s="30">
        <f>D424</f>
        <v>2026</v>
      </c>
      <c r="K434" s="930"/>
      <c r="L434" s="930"/>
      <c r="M434" s="930"/>
      <c r="N434" s="30">
        <f>M424-1</f>
        <v>2025</v>
      </c>
      <c r="O434" s="30">
        <f>M424</f>
        <v>2026</v>
      </c>
      <c r="P434" s="30">
        <f>M424-1</f>
        <v>2025</v>
      </c>
      <c r="Q434" s="30">
        <f>M424</f>
        <v>2026</v>
      </c>
      <c r="T434" s="930"/>
      <c r="U434" s="930"/>
      <c r="V434" s="930"/>
      <c r="W434" s="30">
        <f>W424</f>
        <v>2026</v>
      </c>
      <c r="X434" s="30">
        <f>W424</f>
        <v>2026</v>
      </c>
      <c r="Y434" s="30">
        <f>W424</f>
        <v>2026</v>
      </c>
      <c r="Z434" s="30">
        <f>W424</f>
        <v>2026</v>
      </c>
      <c r="AA434" s="30">
        <f>W424</f>
        <v>2026</v>
      </c>
      <c r="AB434" s="30">
        <f>W424</f>
        <v>2026</v>
      </c>
      <c r="AC434" s="183"/>
      <c r="AK434" s="183"/>
      <c r="AL434" s="183"/>
      <c r="AM434" s="183"/>
      <c r="AN434" s="183"/>
    </row>
    <row r="435" spans="2:40" x14ac:dyDescent="0.25">
      <c r="B435" s="931"/>
      <c r="C435" s="931"/>
      <c r="D435" s="931"/>
      <c r="E435" s="7" t="s">
        <v>199</v>
      </c>
      <c r="F435" s="7" t="s">
        <v>114</v>
      </c>
      <c r="G435" s="7" t="s">
        <v>199</v>
      </c>
      <c r="H435" s="19" t="s">
        <v>114</v>
      </c>
      <c r="K435" s="931"/>
      <c r="L435" s="931"/>
      <c r="M435" s="931"/>
      <c r="N435" s="7" t="s">
        <v>199</v>
      </c>
      <c r="O435" s="7" t="s">
        <v>114</v>
      </c>
      <c r="P435" s="7" t="s">
        <v>199</v>
      </c>
      <c r="Q435" s="19" t="s">
        <v>114</v>
      </c>
      <c r="T435" s="931"/>
      <c r="U435" s="931"/>
      <c r="V435" s="931"/>
      <c r="W435" s="7" t="s">
        <v>198</v>
      </c>
      <c r="X435" s="7" t="s">
        <v>114</v>
      </c>
      <c r="Y435" s="7" t="s">
        <v>197</v>
      </c>
      <c r="Z435" s="7" t="s">
        <v>198</v>
      </c>
      <c r="AA435" s="7" t="s">
        <v>114</v>
      </c>
      <c r="AB435" s="19" t="s">
        <v>197</v>
      </c>
      <c r="AC435" s="183"/>
      <c r="AK435" s="183"/>
      <c r="AL435" s="183"/>
      <c r="AM435" s="183"/>
      <c r="AN435" s="183"/>
    </row>
    <row r="436" spans="2:40" x14ac:dyDescent="0.25">
      <c r="B436" s="11">
        <v>1</v>
      </c>
      <c r="C436" s="11">
        <v>2</v>
      </c>
      <c r="D436" s="11" t="s">
        <v>111</v>
      </c>
      <c r="E436" s="11">
        <v>3</v>
      </c>
      <c r="F436" s="11">
        <v>4</v>
      </c>
      <c r="G436" s="11">
        <v>6</v>
      </c>
      <c r="H436" s="22">
        <v>7</v>
      </c>
      <c r="K436" s="11">
        <v>1</v>
      </c>
      <c r="L436" s="11">
        <v>2</v>
      </c>
      <c r="M436" s="11" t="s">
        <v>111</v>
      </c>
      <c r="N436" s="11">
        <v>3</v>
      </c>
      <c r="O436" s="11">
        <v>4</v>
      </c>
      <c r="P436" s="11">
        <v>6</v>
      </c>
      <c r="Q436" s="22">
        <v>7</v>
      </c>
      <c r="T436" s="11">
        <v>1</v>
      </c>
      <c r="U436" s="11">
        <v>2</v>
      </c>
      <c r="V436" s="11" t="s">
        <v>111</v>
      </c>
      <c r="W436" s="11">
        <v>3</v>
      </c>
      <c r="X436" s="11">
        <v>4</v>
      </c>
      <c r="Y436" s="11">
        <v>5</v>
      </c>
      <c r="Z436" s="11">
        <v>6</v>
      </c>
      <c r="AA436" s="11">
        <v>7</v>
      </c>
      <c r="AB436" s="22">
        <v>8</v>
      </c>
      <c r="AC436" s="183"/>
      <c r="AK436" s="183"/>
      <c r="AL436" s="183"/>
      <c r="AM436" s="183"/>
      <c r="AN436" s="183"/>
    </row>
    <row r="437" spans="2:40" x14ac:dyDescent="0.25">
      <c r="B437" s="9" t="s">
        <v>8</v>
      </c>
      <c r="C437" s="10" t="s">
        <v>9</v>
      </c>
      <c r="D437" s="11" t="s">
        <v>10</v>
      </c>
      <c r="E437" s="46">
        <f>SUM(E438:E441)</f>
        <v>0</v>
      </c>
      <c r="F437" s="46">
        <f>SUM(F438:F441)</f>
        <v>0</v>
      </c>
      <c r="G437" s="46">
        <f>SUM(G438:G441)</f>
        <v>0</v>
      </c>
      <c r="H437" s="98">
        <f>SUM(H438:H441)</f>
        <v>0</v>
      </c>
      <c r="K437" s="9" t="s">
        <v>8</v>
      </c>
      <c r="L437" s="10" t="s">
        <v>9</v>
      </c>
      <c r="M437" s="11" t="s">
        <v>10</v>
      </c>
      <c r="N437" s="46">
        <f>SUM(N438:N441)</f>
        <v>0</v>
      </c>
      <c r="O437" s="46">
        <f>SUM(O438:O441)</f>
        <v>0</v>
      </c>
      <c r="P437" s="46">
        <f>SUM(P438:P441)</f>
        <v>0</v>
      </c>
      <c r="Q437" s="98">
        <f>SUM(Q438:Q441)</f>
        <v>0</v>
      </c>
      <c r="T437" s="9" t="s">
        <v>8</v>
      </c>
      <c r="U437" s="10" t="s">
        <v>9</v>
      </c>
      <c r="V437" s="11" t="s">
        <v>10</v>
      </c>
      <c r="W437" s="98">
        <f t="shared" ref="W437:AB437" si="180">SUM(W438:W441)</f>
        <v>0</v>
      </c>
      <c r="X437" s="98">
        <f t="shared" si="180"/>
        <v>0</v>
      </c>
      <c r="Y437" s="98">
        <f t="shared" si="180"/>
        <v>0</v>
      </c>
      <c r="Z437" s="98">
        <f t="shared" si="180"/>
        <v>0</v>
      </c>
      <c r="AA437" s="98">
        <f t="shared" si="180"/>
        <v>0</v>
      </c>
      <c r="AB437" s="98">
        <f t="shared" si="180"/>
        <v>0</v>
      </c>
      <c r="AC437" s="183"/>
      <c r="AK437" s="183"/>
      <c r="AL437" s="183"/>
      <c r="AM437" s="183"/>
      <c r="AN437" s="183"/>
    </row>
    <row r="438" spans="2:40" x14ac:dyDescent="0.25">
      <c r="B438" s="12" t="s">
        <v>11</v>
      </c>
      <c r="C438" s="13" t="s">
        <v>12</v>
      </c>
      <c r="D438" s="3" t="s">
        <v>10</v>
      </c>
      <c r="E438" s="49">
        <v>0</v>
      </c>
      <c r="F438" s="49">
        <f>IF(YEAR(Postup!$H$25)&gt;$D$424,Provozování!AN23,IF(AND(DAY(Postup!$H$25)=31,MONTH(Postup!$H$25)=12,YEAR(Postup!$H$25)=$D$424),Provozování!AN23,IF(YEAR(Postup!$H$25)=$D$424,Provozování!$BL23,0)))</f>
        <v>0</v>
      </c>
      <c r="G438" s="49">
        <v>0</v>
      </c>
      <c r="H438" s="442">
        <v>0</v>
      </c>
      <c r="K438" s="12" t="s">
        <v>11</v>
      </c>
      <c r="L438" s="13" t="s">
        <v>12</v>
      </c>
      <c r="M438" s="3" t="s">
        <v>10</v>
      </c>
      <c r="N438" s="49">
        <v>0</v>
      </c>
      <c r="O438" s="49">
        <f>IF(Provozování!$AP$16="Neaktivní",0,Provozování!AP23)</f>
        <v>0</v>
      </c>
      <c r="P438" s="49">
        <v>0</v>
      </c>
      <c r="Q438" s="442">
        <v>0</v>
      </c>
      <c r="T438" s="12" t="s">
        <v>11</v>
      </c>
      <c r="U438" s="13" t="s">
        <v>12</v>
      </c>
      <c r="V438" s="3" t="s">
        <v>10</v>
      </c>
      <c r="W438" s="595">
        <v>0</v>
      </c>
      <c r="X438" s="49">
        <f>IF(Provozování!$AP$16="Neaktivní",F438,F438*Výpočty!$N$58+O438)</f>
        <v>0</v>
      </c>
      <c r="Y438" s="49">
        <f>W438-X438</f>
        <v>0</v>
      </c>
      <c r="Z438" s="445">
        <v>0</v>
      </c>
      <c r="AA438" s="445">
        <v>0</v>
      </c>
      <c r="AB438" s="442">
        <v>0</v>
      </c>
      <c r="AC438" s="183"/>
      <c r="AK438" s="183"/>
      <c r="AL438" s="183"/>
      <c r="AM438" s="183"/>
      <c r="AN438" s="183"/>
    </row>
    <row r="439" spans="2:40" x14ac:dyDescent="0.25">
      <c r="B439" s="12" t="s">
        <v>13</v>
      </c>
      <c r="C439" s="12" t="s">
        <v>14</v>
      </c>
      <c r="D439" s="3" t="s">
        <v>10</v>
      </c>
      <c r="E439" s="58">
        <v>0</v>
      </c>
      <c r="F439" s="49">
        <f>IF(YEAR(Postup!$H$25)&gt;$D$424,Provozování!AN24,IF(AND(DAY(Postup!$H$25)=31,MONTH(Postup!$H$25)=12,YEAR(Postup!$H$25)=$D$424),Provozování!AN24,IF(YEAR(Postup!$H$25)=$D$424,Provozování!$BL24,0)))</f>
        <v>0</v>
      </c>
      <c r="G439" s="58">
        <v>0</v>
      </c>
      <c r="H439" s="32">
        <f>IF(YEAR(Postup!$H$25)&gt;$D$424,Provozování!AO24,IF(AND(DAY(Postup!$H$25)=31,MONTH(Postup!$H$25)=12,YEAR(Postup!$H$25)=$D$424),Provozování!AO24,IF(YEAR(Postup!$H$25)=$D$424,Provozování!$BM24,0)))</f>
        <v>0</v>
      </c>
      <c r="K439" s="12" t="s">
        <v>13</v>
      </c>
      <c r="L439" s="12" t="s">
        <v>14</v>
      </c>
      <c r="M439" s="3" t="s">
        <v>10</v>
      </c>
      <c r="N439" s="58">
        <v>0</v>
      </c>
      <c r="O439" s="49">
        <f>IF(Provozování!$AP$16="Neaktivní",0,Provozování!AP24)</f>
        <v>0</v>
      </c>
      <c r="P439" s="58">
        <v>0</v>
      </c>
      <c r="Q439" s="59">
        <f>IF(Provozování!$AP$16="Neaktivní",0,Provozování!AQ24)</f>
        <v>0</v>
      </c>
      <c r="T439" s="12" t="s">
        <v>13</v>
      </c>
      <c r="U439" s="12" t="s">
        <v>14</v>
      </c>
      <c r="V439" s="3" t="s">
        <v>10</v>
      </c>
      <c r="W439" s="596">
        <v>0</v>
      </c>
      <c r="X439" s="49">
        <f>IF(Provozování!$AP$16="Neaktivní",F439,F439*Výpočty!$N$58+O439)</f>
        <v>0</v>
      </c>
      <c r="Y439" s="49">
        <f t="shared" ref="Y439:Y441" si="181">W439-X439</f>
        <v>0</v>
      </c>
      <c r="Z439" s="596">
        <v>0</v>
      </c>
      <c r="AA439" s="49">
        <f>IF(Provozování!$AP$16="Neaktivní",H439,H439*Výpočty!$N$58+Q439)</f>
        <v>0</v>
      </c>
      <c r="AB439" s="32">
        <f t="shared" ref="AB439:AB441" si="182">Z439-AA439</f>
        <v>0</v>
      </c>
      <c r="AC439" s="183"/>
      <c r="AK439" s="183"/>
      <c r="AL439" s="183"/>
      <c r="AM439" s="183"/>
      <c r="AN439" s="183"/>
    </row>
    <row r="440" spans="2:40" x14ac:dyDescent="0.25">
      <c r="B440" s="12" t="s">
        <v>15</v>
      </c>
      <c r="C440" s="13" t="s">
        <v>16</v>
      </c>
      <c r="D440" s="3" t="s">
        <v>10</v>
      </c>
      <c r="E440" s="32">
        <v>0</v>
      </c>
      <c r="F440" s="590">
        <f>IF(YEAR(Postup!$H$25)&gt;$D$424,Provozování!AN25,IF(AND(DAY(Postup!$H$25)=31,MONTH(Postup!$H$25)=12,YEAR(Postup!$H$25)=$D$424),Provozování!AN25,IF(YEAR(Postup!$H$25)=$D$424,Provozování!$BL25,0)))</f>
        <v>0</v>
      </c>
      <c r="G440" s="32">
        <v>0</v>
      </c>
      <c r="H440" s="590">
        <f>IF(YEAR(Postup!$H$25)&gt;$D$424,Provozování!AO25,IF(AND(DAY(Postup!$H$25)=31,MONTH(Postup!$H$25)=12,YEAR(Postup!$H$25)=$D$424),Provozování!AO25,IF(YEAR(Postup!$H$25)=$D$424,Provozování!$BM25,0)))</f>
        <v>0</v>
      </c>
      <c r="K440" s="12" t="s">
        <v>15</v>
      </c>
      <c r="L440" s="13" t="s">
        <v>16</v>
      </c>
      <c r="M440" s="3" t="s">
        <v>10</v>
      </c>
      <c r="N440" s="32">
        <v>0</v>
      </c>
      <c r="O440" s="443">
        <f>IF(Provozování!$AP$16="Neaktivní",0,Provozování!AP25)</f>
        <v>0</v>
      </c>
      <c r="P440" s="32">
        <v>0</v>
      </c>
      <c r="Q440" s="443">
        <f>IF(Provozování!$AP$16="Neaktivní",0,Provozování!AQ25)</f>
        <v>0</v>
      </c>
      <c r="T440" s="12" t="s">
        <v>15</v>
      </c>
      <c r="U440" s="13" t="s">
        <v>16</v>
      </c>
      <c r="V440" s="3" t="s">
        <v>10</v>
      </c>
      <c r="W440" s="597">
        <v>0</v>
      </c>
      <c r="X440" s="49">
        <f>IF(Provozování!$AP$16="Neaktivní",F440,F440*Výpočty!$N$58+O440)</f>
        <v>0</v>
      </c>
      <c r="Y440" s="49">
        <f t="shared" si="181"/>
        <v>0</v>
      </c>
      <c r="Z440" s="597">
        <v>0</v>
      </c>
      <c r="AA440" s="49">
        <f>IF(Provozování!$AP$16="Neaktivní",H440,H440*Výpočty!$N$58+Q440)</f>
        <v>0</v>
      </c>
      <c r="AB440" s="32">
        <f t="shared" si="182"/>
        <v>0</v>
      </c>
      <c r="AC440" s="183"/>
      <c r="AK440" s="183"/>
      <c r="AL440" s="183"/>
      <c r="AM440" s="183"/>
      <c r="AN440" s="183"/>
    </row>
    <row r="441" spans="2:40" x14ac:dyDescent="0.25">
      <c r="B441" s="12" t="s">
        <v>17</v>
      </c>
      <c r="C441" s="13" t="s">
        <v>18</v>
      </c>
      <c r="D441" s="3" t="s">
        <v>10</v>
      </c>
      <c r="E441" s="99">
        <v>0</v>
      </c>
      <c r="F441" s="590">
        <f>IF(YEAR(Postup!$H$25)&gt;$D$424,Provozování!AN26,IF(AND(DAY(Postup!$H$25)=31,MONTH(Postup!$H$25)=12,YEAR(Postup!$H$25)=$D$424),Provozování!AN26,IF(YEAR(Postup!$H$25)=$D$424,Provozování!$BL26,0)))</f>
        <v>0</v>
      </c>
      <c r="G441" s="99">
        <v>0</v>
      </c>
      <c r="H441" s="590">
        <f>IF(YEAR(Postup!$H$25)&gt;$D$424,Provozování!AO26,IF(AND(DAY(Postup!$H$25)=31,MONTH(Postup!$H$25)=12,YEAR(Postup!$H$25)=$D$424),Provozování!AO26,IF(YEAR(Postup!$H$25)=$D$424,Provozování!$BM26,0)))</f>
        <v>0</v>
      </c>
      <c r="K441" s="12" t="s">
        <v>17</v>
      </c>
      <c r="L441" s="13" t="s">
        <v>18</v>
      </c>
      <c r="M441" s="3" t="s">
        <v>10</v>
      </c>
      <c r="N441" s="99">
        <v>0</v>
      </c>
      <c r="O441" s="443">
        <f>IF(Provozování!$AP$16="Neaktivní",0,Provozování!AP26)</f>
        <v>0</v>
      </c>
      <c r="P441" s="99">
        <v>0</v>
      </c>
      <c r="Q441" s="443">
        <f>IF(Provozování!$AP$16="Neaktivní",0,Provozování!AQ26)</f>
        <v>0</v>
      </c>
      <c r="T441" s="12" t="s">
        <v>17</v>
      </c>
      <c r="U441" s="13" t="s">
        <v>18</v>
      </c>
      <c r="V441" s="3" t="s">
        <v>10</v>
      </c>
      <c r="W441" s="598">
        <v>0</v>
      </c>
      <c r="X441" s="49">
        <f>IF(Provozování!$AP$16="Neaktivní",F441,F441*Výpočty!$N$58+O441)</f>
        <v>0</v>
      </c>
      <c r="Y441" s="49">
        <f t="shared" si="181"/>
        <v>0</v>
      </c>
      <c r="Z441" s="598">
        <v>0</v>
      </c>
      <c r="AA441" s="49">
        <f>IF(Provozování!$AP$16="Neaktivní",H441,H441*Výpočty!$N$58+Q441)</f>
        <v>0</v>
      </c>
      <c r="AB441" s="32">
        <f t="shared" si="182"/>
        <v>0</v>
      </c>
      <c r="AC441" s="183"/>
      <c r="AK441" s="183"/>
      <c r="AL441" s="183"/>
      <c r="AM441" s="183"/>
      <c r="AN441" s="183"/>
    </row>
    <row r="442" spans="2:40" x14ac:dyDescent="0.25">
      <c r="B442" s="9" t="s">
        <v>19</v>
      </c>
      <c r="C442" s="10" t="s">
        <v>20</v>
      </c>
      <c r="D442" s="11" t="s">
        <v>10</v>
      </c>
      <c r="E442" s="100">
        <f>SUM(E443:E444)</f>
        <v>0</v>
      </c>
      <c r="F442" s="100">
        <f>SUM(F443:F444)</f>
        <v>0</v>
      </c>
      <c r="G442" s="100">
        <f>SUM(G443:G444)</f>
        <v>0</v>
      </c>
      <c r="H442" s="98">
        <f>SUM(H443:H444)</f>
        <v>0</v>
      </c>
      <c r="K442" s="9" t="s">
        <v>19</v>
      </c>
      <c r="L442" s="10" t="s">
        <v>20</v>
      </c>
      <c r="M442" s="11" t="s">
        <v>10</v>
      </c>
      <c r="N442" s="100">
        <f>SUM(N443:N444)</f>
        <v>0</v>
      </c>
      <c r="O442" s="100">
        <f>SUM(O443:O444)</f>
        <v>0</v>
      </c>
      <c r="P442" s="100">
        <f>SUM(P443:P444)</f>
        <v>0</v>
      </c>
      <c r="Q442" s="98">
        <f>SUM(Q443:Q444)</f>
        <v>0</v>
      </c>
      <c r="T442" s="9" t="s">
        <v>19</v>
      </c>
      <c r="U442" s="10" t="s">
        <v>20</v>
      </c>
      <c r="V442" s="11" t="s">
        <v>10</v>
      </c>
      <c r="W442" s="98">
        <f t="shared" ref="W442:AB442" si="183">SUM(W443:W444)</f>
        <v>0</v>
      </c>
      <c r="X442" s="98">
        <f t="shared" si="183"/>
        <v>0</v>
      </c>
      <c r="Y442" s="98">
        <f t="shared" si="183"/>
        <v>0</v>
      </c>
      <c r="Z442" s="98">
        <f t="shared" si="183"/>
        <v>0</v>
      </c>
      <c r="AA442" s="98">
        <f t="shared" si="183"/>
        <v>0</v>
      </c>
      <c r="AB442" s="98">
        <f t="shared" si="183"/>
        <v>0</v>
      </c>
      <c r="AC442" s="183"/>
      <c r="AK442" s="183"/>
      <c r="AL442" s="183"/>
      <c r="AM442" s="183"/>
      <c r="AN442" s="183"/>
    </row>
    <row r="443" spans="2:40" x14ac:dyDescent="0.25">
      <c r="B443" s="12" t="s">
        <v>21</v>
      </c>
      <c r="C443" s="12" t="s">
        <v>22</v>
      </c>
      <c r="D443" s="3" t="s">
        <v>10</v>
      </c>
      <c r="E443" s="32">
        <v>0</v>
      </c>
      <c r="F443" s="590">
        <f>IF(YEAR(Postup!$H$25)&gt;$D$424,Provozování!AN28,IF(AND(DAY(Postup!$H$25)=31,MONTH(Postup!$H$25)=12,YEAR(Postup!$H$25)=$D$424),Provozování!AN28,IF(YEAR(Postup!$H$25)=$D$424,Provozování!$BL28,0)))</f>
        <v>0</v>
      </c>
      <c r="G443" s="32">
        <v>0</v>
      </c>
      <c r="H443" s="590">
        <f>IF(YEAR(Postup!$H$25)&gt;$D$424,Provozování!AO28,IF(AND(DAY(Postup!$H$25)=31,MONTH(Postup!$H$25)=12,YEAR(Postup!$H$25)=$D$424),Provozování!AO28,IF(YEAR(Postup!$H$25)=$D$424,Provozování!$BM28,0)))</f>
        <v>0</v>
      </c>
      <c r="K443" s="12" t="s">
        <v>21</v>
      </c>
      <c r="L443" s="12" t="s">
        <v>22</v>
      </c>
      <c r="M443" s="3" t="s">
        <v>10</v>
      </c>
      <c r="N443" s="32">
        <v>0</v>
      </c>
      <c r="O443" s="443">
        <f>IF(Provozování!$AP$16="Neaktivní",0,Provozování!AP28)</f>
        <v>0</v>
      </c>
      <c r="P443" s="32">
        <v>0</v>
      </c>
      <c r="Q443" s="443">
        <f>IF(Provozování!$AP$16="Neaktivní",0,Provozování!AQ28)</f>
        <v>0</v>
      </c>
      <c r="T443" s="12" t="s">
        <v>21</v>
      </c>
      <c r="U443" s="12" t="s">
        <v>22</v>
      </c>
      <c r="V443" s="3" t="s">
        <v>10</v>
      </c>
      <c r="W443" s="595">
        <v>0</v>
      </c>
      <c r="X443" s="49">
        <f>IF(Provozování!$AP$16="Neaktivní",F443,F443*Výpočty!$N$58+O443)</f>
        <v>0</v>
      </c>
      <c r="Y443" s="49">
        <f t="shared" ref="Y443:Y444" si="184">W443-X443</f>
        <v>0</v>
      </c>
      <c r="Z443" s="597">
        <v>0</v>
      </c>
      <c r="AA443" s="49">
        <f>IF(Provozování!$AP$16="Neaktivní",H443,H443*Výpočty!$N$58+Q443)</f>
        <v>0</v>
      </c>
      <c r="AB443" s="32">
        <f t="shared" ref="AB443:AB444" si="185">Z443-AA443</f>
        <v>0</v>
      </c>
      <c r="AC443" s="183"/>
      <c r="AK443" s="183"/>
      <c r="AL443" s="183"/>
      <c r="AM443" s="183"/>
      <c r="AN443" s="183"/>
    </row>
    <row r="444" spans="2:40" x14ac:dyDescent="0.25">
      <c r="B444" s="12" t="s">
        <v>23</v>
      </c>
      <c r="C444" s="12" t="s">
        <v>24</v>
      </c>
      <c r="D444" s="3" t="s">
        <v>10</v>
      </c>
      <c r="E444" s="99">
        <v>0</v>
      </c>
      <c r="F444" s="590">
        <f>IF(YEAR(Postup!$H$25)&gt;$D$424,Provozování!AN29,IF(AND(DAY(Postup!$H$25)=31,MONTH(Postup!$H$25)=12,YEAR(Postup!$H$25)=$D$424),Provozování!AN29,IF(YEAR(Postup!$H$25)=$D$424,Provozování!$BL29,0)))</f>
        <v>0</v>
      </c>
      <c r="G444" s="99">
        <v>0</v>
      </c>
      <c r="H444" s="590">
        <f>IF(YEAR(Postup!$H$25)&gt;$D$424,Provozování!AO29,IF(AND(DAY(Postup!$H$25)=31,MONTH(Postup!$H$25)=12,YEAR(Postup!$H$25)=$D$424),Provozování!AO29,IF(YEAR(Postup!$H$25)=$D$424,Provozování!$BM29,0)))</f>
        <v>0</v>
      </c>
      <c r="K444" s="12" t="s">
        <v>23</v>
      </c>
      <c r="L444" s="12" t="s">
        <v>24</v>
      </c>
      <c r="M444" s="3" t="s">
        <v>10</v>
      </c>
      <c r="N444" s="99">
        <v>0</v>
      </c>
      <c r="O444" s="443">
        <f>IF(Provozování!$AP$16="Neaktivní",0,Provozování!AP29)</f>
        <v>0</v>
      </c>
      <c r="P444" s="99">
        <v>0</v>
      </c>
      <c r="Q444" s="443">
        <f>IF(Provozování!$AP$16="Neaktivní",0,Provozování!AQ29)</f>
        <v>0</v>
      </c>
      <c r="T444" s="12" t="s">
        <v>23</v>
      </c>
      <c r="U444" s="12" t="s">
        <v>24</v>
      </c>
      <c r="V444" s="3" t="s">
        <v>10</v>
      </c>
      <c r="W444" s="596">
        <v>0</v>
      </c>
      <c r="X444" s="49">
        <f>IF(Provozování!$AP$16="Neaktivní",F444,F444*Výpočty!$N$58+O444)</f>
        <v>0</v>
      </c>
      <c r="Y444" s="49">
        <f t="shared" si="184"/>
        <v>0</v>
      </c>
      <c r="Z444" s="598">
        <v>0</v>
      </c>
      <c r="AA444" s="49">
        <f>IF(Provozování!$AP$16="Neaktivní",H444,H444*Výpočty!$N$58+Q444)</f>
        <v>0</v>
      </c>
      <c r="AB444" s="32">
        <f t="shared" si="185"/>
        <v>0</v>
      </c>
      <c r="AC444" s="183"/>
      <c r="AK444" s="183"/>
      <c r="AL444" s="183"/>
      <c r="AM444" s="183"/>
      <c r="AN444" s="183"/>
    </row>
    <row r="445" spans="2:40" x14ac:dyDescent="0.25">
      <c r="B445" s="9" t="s">
        <v>25</v>
      </c>
      <c r="C445" s="10" t="s">
        <v>26</v>
      </c>
      <c r="D445" s="11" t="s">
        <v>10</v>
      </c>
      <c r="E445" s="46">
        <f>SUM(E446:E447)</f>
        <v>0</v>
      </c>
      <c r="F445" s="46">
        <f>SUM(F446:F447)</f>
        <v>0</v>
      </c>
      <c r="G445" s="46">
        <f>SUM(G446:G447)</f>
        <v>0</v>
      </c>
      <c r="H445" s="98">
        <f>SUM(H446:H447)</f>
        <v>0</v>
      </c>
      <c r="K445" s="9" t="s">
        <v>25</v>
      </c>
      <c r="L445" s="10" t="s">
        <v>26</v>
      </c>
      <c r="M445" s="11" t="s">
        <v>10</v>
      </c>
      <c r="N445" s="46">
        <f>SUM(N446:N447)</f>
        <v>0</v>
      </c>
      <c r="O445" s="46">
        <f>SUM(O446:O447)</f>
        <v>0</v>
      </c>
      <c r="P445" s="46">
        <f>SUM(P446:P447)</f>
        <v>0</v>
      </c>
      <c r="Q445" s="98">
        <f>SUM(Q446:Q447)</f>
        <v>0</v>
      </c>
      <c r="T445" s="9" t="s">
        <v>25</v>
      </c>
      <c r="U445" s="10" t="s">
        <v>26</v>
      </c>
      <c r="V445" s="11" t="s">
        <v>10</v>
      </c>
      <c r="W445" s="98">
        <f t="shared" ref="W445:AB445" si="186">SUM(W446:W447)</f>
        <v>0</v>
      </c>
      <c r="X445" s="98">
        <f t="shared" si="186"/>
        <v>0</v>
      </c>
      <c r="Y445" s="98">
        <f t="shared" si="186"/>
        <v>0</v>
      </c>
      <c r="Z445" s="98">
        <f t="shared" si="186"/>
        <v>0</v>
      </c>
      <c r="AA445" s="98">
        <f t="shared" si="186"/>
        <v>0</v>
      </c>
      <c r="AB445" s="98">
        <f t="shared" si="186"/>
        <v>0</v>
      </c>
      <c r="AC445" s="183"/>
      <c r="AD445" s="183"/>
      <c r="AK445" s="183"/>
      <c r="AL445" s="183"/>
      <c r="AM445" s="183"/>
      <c r="AN445" s="183"/>
    </row>
    <row r="446" spans="2:40" x14ac:dyDescent="0.25">
      <c r="B446" s="12" t="s">
        <v>27</v>
      </c>
      <c r="C446" s="13" t="s">
        <v>28</v>
      </c>
      <c r="D446" s="3" t="s">
        <v>10</v>
      </c>
      <c r="E446" s="49">
        <v>0</v>
      </c>
      <c r="F446" s="590">
        <f>IF(YEAR(Postup!$H$25)&gt;$D$424,Provozování!AN31,IF(AND(DAY(Postup!$H$25)=31,MONTH(Postup!$H$25)=12,YEAR(Postup!$H$25)=$D$424),Provozování!AN31,IF(YEAR(Postup!$H$25)=$D$424,Provozování!$BL31,0)))</f>
        <v>0</v>
      </c>
      <c r="G446" s="49">
        <v>0</v>
      </c>
      <c r="H446" s="590">
        <f>IF(YEAR(Postup!$H$25)&gt;$D$424,Provozování!AO31,IF(AND(DAY(Postup!$H$25)=31,MONTH(Postup!$H$25)=12,YEAR(Postup!$H$25)=$D$424),Provozování!AO31,IF(YEAR(Postup!$H$25)=$D$424,Provozování!$BM31,0)))</f>
        <v>0</v>
      </c>
      <c r="K446" s="12" t="s">
        <v>27</v>
      </c>
      <c r="L446" s="13" t="s">
        <v>28</v>
      </c>
      <c r="M446" s="3" t="s">
        <v>10</v>
      </c>
      <c r="N446" s="49">
        <v>0</v>
      </c>
      <c r="O446" s="443">
        <f>IF(Provozování!$AP$16="Neaktivní",0,Provozování!AP31)</f>
        <v>0</v>
      </c>
      <c r="P446" s="49">
        <v>0</v>
      </c>
      <c r="Q446" s="443">
        <f>IF(Provozování!$AP$16="Neaktivní",0,Provozování!AQ31)</f>
        <v>0</v>
      </c>
      <c r="T446" s="12" t="s">
        <v>27</v>
      </c>
      <c r="U446" s="13" t="s">
        <v>28</v>
      </c>
      <c r="V446" s="3" t="s">
        <v>10</v>
      </c>
      <c r="W446" s="595">
        <v>0</v>
      </c>
      <c r="X446" s="49">
        <f>IF(Provozování!$AP$16="Neaktivní",F446,F446*Výpočty!$N$58+O446)</f>
        <v>0</v>
      </c>
      <c r="Y446" s="49">
        <f t="shared" ref="Y446:Y447" si="187">W446-X446</f>
        <v>0</v>
      </c>
      <c r="Z446" s="595">
        <v>0</v>
      </c>
      <c r="AA446" s="49">
        <f>IF(Provozování!$AP$16="Neaktivní",H446,H446*Výpočty!$N$58+Q446)</f>
        <v>0</v>
      </c>
      <c r="AB446" s="32">
        <f t="shared" ref="AB446:AB447" si="188">Z446-AA446</f>
        <v>0</v>
      </c>
      <c r="AC446" s="183"/>
      <c r="AD446" s="183"/>
      <c r="AK446" s="183"/>
      <c r="AL446" s="183"/>
      <c r="AM446" s="183"/>
      <c r="AN446" s="183"/>
    </row>
    <row r="447" spans="2:40" x14ac:dyDescent="0.25">
      <c r="B447" s="12" t="s">
        <v>29</v>
      </c>
      <c r="C447" s="13" t="s">
        <v>30</v>
      </c>
      <c r="D447" s="3" t="s">
        <v>10</v>
      </c>
      <c r="E447" s="49">
        <v>0</v>
      </c>
      <c r="F447" s="590">
        <f>IF(YEAR(Postup!$H$25)&gt;$D$424,Provozování!AN32,IF(AND(DAY(Postup!$H$25)=31,MONTH(Postup!$H$25)=12,YEAR(Postup!$H$25)=$D$424),Provozování!AN32,IF(YEAR(Postup!$H$25)=$D$424,Provozování!$BL32,0)))</f>
        <v>0</v>
      </c>
      <c r="G447" s="49">
        <v>0</v>
      </c>
      <c r="H447" s="590">
        <f>IF(YEAR(Postup!$H$25)&gt;$D$424,Provozování!AO32,IF(AND(DAY(Postup!$H$25)=31,MONTH(Postup!$H$25)=12,YEAR(Postup!$H$25)=$D$424),Provozování!AO32,IF(YEAR(Postup!$H$25)=$D$424,Provozování!$BM32,0)))</f>
        <v>0</v>
      </c>
      <c r="K447" s="12" t="s">
        <v>29</v>
      </c>
      <c r="L447" s="13" t="s">
        <v>30</v>
      </c>
      <c r="M447" s="3" t="s">
        <v>10</v>
      </c>
      <c r="N447" s="49">
        <v>0</v>
      </c>
      <c r="O447" s="443">
        <f>IF(Provozování!$AP$16="Neaktivní",0,Provozování!AP32)</f>
        <v>0</v>
      </c>
      <c r="P447" s="49">
        <v>0</v>
      </c>
      <c r="Q447" s="443">
        <f>IF(Provozování!$AP$16="Neaktivní",0,Provozování!AQ32)</f>
        <v>0</v>
      </c>
      <c r="T447" s="12" t="s">
        <v>29</v>
      </c>
      <c r="U447" s="13" t="s">
        <v>30</v>
      </c>
      <c r="V447" s="3" t="s">
        <v>10</v>
      </c>
      <c r="W447" s="595">
        <v>0</v>
      </c>
      <c r="X447" s="49">
        <f>IF(Provozování!$AP$16="Neaktivní",F447,F447*Výpočty!$N$58+O447)</f>
        <v>0</v>
      </c>
      <c r="Y447" s="49">
        <f t="shared" si="187"/>
        <v>0</v>
      </c>
      <c r="Z447" s="595">
        <v>0</v>
      </c>
      <c r="AA447" s="49">
        <f>IF(Provozování!$AP$16="Neaktivní",H447,H447*Výpočty!$N$58+Q447)</f>
        <v>0</v>
      </c>
      <c r="AB447" s="32">
        <f t="shared" si="188"/>
        <v>0</v>
      </c>
      <c r="AC447" s="183"/>
      <c r="AD447" s="183"/>
      <c r="AK447" s="183"/>
      <c r="AL447" s="183"/>
      <c r="AM447" s="183"/>
      <c r="AN447" s="183"/>
    </row>
    <row r="448" spans="2:40" x14ac:dyDescent="0.25">
      <c r="B448" s="9" t="s">
        <v>31</v>
      </c>
      <c r="C448" s="10" t="s">
        <v>32</v>
      </c>
      <c r="D448" s="11" t="s">
        <v>10</v>
      </c>
      <c r="E448" s="46">
        <f>SUM(E449:E452)</f>
        <v>0</v>
      </c>
      <c r="F448" s="46">
        <f>SUM(F449:F452)</f>
        <v>0</v>
      </c>
      <c r="G448" s="46">
        <f>SUM(G449:G452)</f>
        <v>0</v>
      </c>
      <c r="H448" s="98">
        <f>SUM(H449:H452)</f>
        <v>0</v>
      </c>
      <c r="K448" s="9" t="s">
        <v>31</v>
      </c>
      <c r="L448" s="10" t="s">
        <v>32</v>
      </c>
      <c r="M448" s="11" t="s">
        <v>10</v>
      </c>
      <c r="N448" s="46">
        <f>SUM(N449:N452)</f>
        <v>0</v>
      </c>
      <c r="O448" s="46">
        <f>SUM(O449:O452)</f>
        <v>0</v>
      </c>
      <c r="P448" s="46">
        <f>SUM(P449:P452)</f>
        <v>0</v>
      </c>
      <c r="Q448" s="98">
        <f>SUM(Q449:Q452)</f>
        <v>0</v>
      </c>
      <c r="T448" s="9" t="s">
        <v>31</v>
      </c>
      <c r="U448" s="10" t="s">
        <v>32</v>
      </c>
      <c r="V448" s="11" t="s">
        <v>10</v>
      </c>
      <c r="W448" s="98">
        <f t="shared" ref="W448:AB448" si="189">SUM(W449:W452)</f>
        <v>0</v>
      </c>
      <c r="X448" s="98">
        <f t="shared" si="189"/>
        <v>0</v>
      </c>
      <c r="Y448" s="98">
        <f t="shared" si="189"/>
        <v>0</v>
      </c>
      <c r="Z448" s="98">
        <f t="shared" si="189"/>
        <v>0</v>
      </c>
      <c r="AA448" s="98">
        <f t="shared" si="189"/>
        <v>0</v>
      </c>
      <c r="AB448" s="98">
        <f t="shared" si="189"/>
        <v>0</v>
      </c>
      <c r="AC448" s="183"/>
      <c r="AD448" s="183"/>
      <c r="AK448" s="183"/>
      <c r="AL448" s="183"/>
      <c r="AM448" s="183"/>
      <c r="AN448" s="183"/>
    </row>
    <row r="449" spans="2:40" x14ac:dyDescent="0.25">
      <c r="B449" s="12" t="s">
        <v>33</v>
      </c>
      <c r="C449" s="21" t="s">
        <v>34</v>
      </c>
      <c r="D449" s="3" t="s">
        <v>10</v>
      </c>
      <c r="E449" s="49">
        <v>0</v>
      </c>
      <c r="F449" s="49">
        <f>IF(YEAR(Postup!$H$25)&gt;$D$424,Provozování!AN34,IF(AND(DAY(Postup!$H$25)=31,MONTH(Postup!$H$25)=12,YEAR(Postup!$H$25)=$D$424),Provozování!AN34,IF(YEAR(Postup!$H$25)=$D$424,Provozování!$BL34,0)))</f>
        <v>0</v>
      </c>
      <c r="G449" s="49">
        <v>0</v>
      </c>
      <c r="H449" s="32">
        <f>IF(YEAR(Postup!$H$25)&gt;$D$424,Provozování!AO34,IF(AND(DAY(Postup!$H$25)=31,MONTH(Postup!$H$25)=12,YEAR(Postup!$H$25)=$D$424),Provozování!AO34,IF(YEAR(Postup!$H$25)=$D$424,Provozování!$BM34,0)))</f>
        <v>0</v>
      </c>
      <c r="K449" s="12" t="s">
        <v>33</v>
      </c>
      <c r="L449" s="21" t="s">
        <v>34</v>
      </c>
      <c r="M449" s="3" t="s">
        <v>10</v>
      </c>
      <c r="N449" s="49">
        <v>0</v>
      </c>
      <c r="O449" s="49">
        <f>IF(Provozování!$AP$16="Neaktivní",0,Provozování!AP34)</f>
        <v>0</v>
      </c>
      <c r="P449" s="49">
        <v>0</v>
      </c>
      <c r="Q449" s="59">
        <f>IF(Provozování!$AP$16="Neaktivní",0,Provozování!AQ34)</f>
        <v>0</v>
      </c>
      <c r="T449" s="12" t="s">
        <v>33</v>
      </c>
      <c r="U449" s="21" t="s">
        <v>34</v>
      </c>
      <c r="V449" s="3" t="s">
        <v>10</v>
      </c>
      <c r="W449" s="595">
        <v>0</v>
      </c>
      <c r="X449" s="49">
        <f>IF(Provozování!$AP$16="Neaktivní",F449,F449*Výpočty!$N$58+O449)</f>
        <v>0</v>
      </c>
      <c r="Y449" s="49">
        <f t="shared" ref="Y449:Y451" si="190">W449-X449</f>
        <v>0</v>
      </c>
      <c r="Z449" s="595">
        <v>0</v>
      </c>
      <c r="AA449" s="49">
        <f>IF(Provozování!$AP$16="Neaktivní",H449,H449*Výpočty!$N$58+Q449)</f>
        <v>0</v>
      </c>
      <c r="AB449" s="32">
        <f t="shared" ref="AB449:AB451" si="191">Z449-AA449</f>
        <v>0</v>
      </c>
      <c r="AC449" s="183"/>
      <c r="AD449" s="183"/>
      <c r="AK449" s="183"/>
      <c r="AL449" s="183"/>
      <c r="AM449" s="183"/>
      <c r="AN449" s="183"/>
    </row>
    <row r="450" spans="2:40" x14ac:dyDescent="0.25">
      <c r="B450" s="12" t="s">
        <v>35</v>
      </c>
      <c r="C450" s="13" t="s">
        <v>36</v>
      </c>
      <c r="D450" s="3" t="s">
        <v>10</v>
      </c>
      <c r="E450" s="49">
        <v>0</v>
      </c>
      <c r="F450" s="589">
        <f>IF(YEAR(Postup!$H$25)&gt;$D$424,Provozování!AN35,IF(AND(DAY(Postup!$H$25)=31,MONTH(Postup!$H$25)=12,YEAR(Postup!$H$25)=$D$424),Provozování!AN35,IF(YEAR(Postup!$H$25)=$D$424,Provozování!$BL35,0)))</f>
        <v>0</v>
      </c>
      <c r="G450" s="49">
        <v>0</v>
      </c>
      <c r="H450" s="590">
        <f>IF(YEAR(Postup!$H$25)&gt;$D$424,Provozování!AO35,IF(AND(DAY(Postup!$H$25)=31,MONTH(Postup!$H$25)=12,YEAR(Postup!$H$25)=$D$424),Provozování!AO35,IF(YEAR(Postup!$H$25)=$D$424,Provozování!$BM35,0)))</f>
        <v>0</v>
      </c>
      <c r="K450" s="12" t="s">
        <v>35</v>
      </c>
      <c r="L450" s="13" t="s">
        <v>36</v>
      </c>
      <c r="M450" s="3" t="s">
        <v>10</v>
      </c>
      <c r="N450" s="49">
        <v>0</v>
      </c>
      <c r="O450" s="444">
        <f>IF(Provozování!$AP$16="Neaktivní",0,Provozování!AP35)</f>
        <v>0</v>
      </c>
      <c r="P450" s="49">
        <v>0</v>
      </c>
      <c r="Q450" s="450">
        <f>IF(Provozování!$AP$16="Neaktivní",0,Provozování!AQ35)</f>
        <v>0</v>
      </c>
      <c r="T450" s="12" t="s">
        <v>35</v>
      </c>
      <c r="U450" s="13" t="s">
        <v>36</v>
      </c>
      <c r="V450" s="3" t="s">
        <v>10</v>
      </c>
      <c r="W450" s="595">
        <v>0</v>
      </c>
      <c r="X450" s="49">
        <f>IF(Provozování!$AP$16="Neaktivní",F450,F450*Výpočty!$N$58+O450)</f>
        <v>0</v>
      </c>
      <c r="Y450" s="49">
        <f t="shared" si="190"/>
        <v>0</v>
      </c>
      <c r="Z450" s="595">
        <v>0</v>
      </c>
      <c r="AA450" s="49">
        <f>IF(Provozování!$AP$16="Neaktivní",H450,H450*Výpočty!$N$58+Q450)</f>
        <v>0</v>
      </c>
      <c r="AB450" s="32">
        <f t="shared" si="191"/>
        <v>0</v>
      </c>
      <c r="AC450" s="183"/>
      <c r="AD450" s="183"/>
      <c r="AK450" s="183"/>
      <c r="AL450" s="183"/>
      <c r="AM450" s="183"/>
      <c r="AN450" s="183"/>
    </row>
    <row r="451" spans="2:40" x14ac:dyDescent="0.25">
      <c r="B451" s="12" t="s">
        <v>37</v>
      </c>
      <c r="C451" s="13" t="s">
        <v>38</v>
      </c>
      <c r="D451" s="3" t="s">
        <v>10</v>
      </c>
      <c r="E451" s="49">
        <v>0</v>
      </c>
      <c r="F451" s="49">
        <f>IF(YEAR(Postup!$H$25)&gt;$D$424,Provozování!AN36,IF(AND(DAY(Postup!$H$25)=31,MONTH(Postup!$H$25)=12,YEAR(Postup!$H$25)=$D$424),Provozování!AN36,IF(YEAR(Postup!$H$25)=$D$424,Provozování!$BL36,0)))</f>
        <v>0</v>
      </c>
      <c r="G451" s="49">
        <v>0</v>
      </c>
      <c r="H451" s="32">
        <f>IF(YEAR(Postup!$H$25)&gt;$D$424,Provozování!AO36,IF(AND(DAY(Postup!$H$25)=31,MONTH(Postup!$H$25)=12,YEAR(Postup!$H$25)=$D$424),Provozování!AO36,IF(YEAR(Postup!$H$25)=$D$424,Provozování!$BM36,0)))</f>
        <v>0</v>
      </c>
      <c r="K451" s="12" t="s">
        <v>37</v>
      </c>
      <c r="L451" s="13" t="s">
        <v>38</v>
      </c>
      <c r="M451" s="3" t="s">
        <v>10</v>
      </c>
      <c r="N451" s="49">
        <v>0</v>
      </c>
      <c r="O451" s="49">
        <f>IF(Provozování!$AP$16="Neaktivní",0,Provozování!AP36)</f>
        <v>0</v>
      </c>
      <c r="P451" s="49">
        <v>0</v>
      </c>
      <c r="Q451" s="59">
        <f>IF(Provozování!$AP$16="Neaktivní",0,Provozování!AQ36)</f>
        <v>0</v>
      </c>
      <c r="T451" s="12" t="s">
        <v>37</v>
      </c>
      <c r="U451" s="13" t="s">
        <v>38</v>
      </c>
      <c r="V451" s="3" t="s">
        <v>10</v>
      </c>
      <c r="W451" s="595">
        <v>0</v>
      </c>
      <c r="X451" s="49">
        <f>IF(Provozování!$AP$16="Neaktivní",F451,F451*Výpočty!$N$58+O451)</f>
        <v>0</v>
      </c>
      <c r="Y451" s="49">
        <f t="shared" si="190"/>
        <v>0</v>
      </c>
      <c r="Z451" s="595">
        <v>0</v>
      </c>
      <c r="AA451" s="49">
        <f>IF(Provozování!$AP$16="Neaktivní",H451,H451*Výpočty!$N$58+Q451)</f>
        <v>0</v>
      </c>
      <c r="AB451" s="32">
        <f t="shared" si="191"/>
        <v>0</v>
      </c>
      <c r="AC451" s="183"/>
      <c r="AD451" s="183"/>
      <c r="AK451" s="183"/>
      <c r="AL451" s="183"/>
      <c r="AM451" s="183"/>
      <c r="AN451" s="183"/>
    </row>
    <row r="452" spans="2:40" x14ac:dyDescent="0.25">
      <c r="B452" s="12" t="s">
        <v>39</v>
      </c>
      <c r="C452" s="21" t="s">
        <v>40</v>
      </c>
      <c r="D452" s="3" t="s">
        <v>10</v>
      </c>
      <c r="E452" s="49">
        <v>0</v>
      </c>
      <c r="F452" s="445">
        <v>0</v>
      </c>
      <c r="G452" s="49">
        <v>0</v>
      </c>
      <c r="H452" s="442">
        <v>0</v>
      </c>
      <c r="K452" s="12" t="s">
        <v>39</v>
      </c>
      <c r="L452" s="21" t="s">
        <v>40</v>
      </c>
      <c r="M452" s="3" t="s">
        <v>10</v>
      </c>
      <c r="N452" s="49">
        <v>0</v>
      </c>
      <c r="O452" s="445">
        <v>0</v>
      </c>
      <c r="P452" s="49">
        <v>0</v>
      </c>
      <c r="Q452" s="442">
        <v>0</v>
      </c>
      <c r="T452" s="12" t="s">
        <v>39</v>
      </c>
      <c r="U452" s="21" t="s">
        <v>40</v>
      </c>
      <c r="V452" s="3" t="s">
        <v>10</v>
      </c>
      <c r="W452" s="445">
        <v>0</v>
      </c>
      <c r="X452" s="445">
        <v>0</v>
      </c>
      <c r="Y452" s="445">
        <v>0</v>
      </c>
      <c r="Z452" s="445">
        <v>0</v>
      </c>
      <c r="AA452" s="445">
        <v>0</v>
      </c>
      <c r="AB452" s="442">
        <v>0</v>
      </c>
      <c r="AC452" s="183"/>
      <c r="AD452" s="183"/>
      <c r="AK452" s="183"/>
      <c r="AL452" s="183"/>
      <c r="AM452" s="183"/>
      <c r="AN452" s="183"/>
    </row>
    <row r="453" spans="2:40" x14ac:dyDescent="0.25">
      <c r="B453" s="9" t="s">
        <v>41</v>
      </c>
      <c r="C453" s="10" t="s">
        <v>42</v>
      </c>
      <c r="D453" s="11" t="s">
        <v>10</v>
      </c>
      <c r="E453" s="46">
        <f>SUM(E454:E456)</f>
        <v>0</v>
      </c>
      <c r="F453" s="46">
        <f>SUM(F454:F456)</f>
        <v>0</v>
      </c>
      <c r="G453" s="46">
        <f>SUM(G454:G456)</f>
        <v>0</v>
      </c>
      <c r="H453" s="98">
        <f>SUM(H454:H456)</f>
        <v>0</v>
      </c>
      <c r="K453" s="9" t="s">
        <v>41</v>
      </c>
      <c r="L453" s="10" t="s">
        <v>42</v>
      </c>
      <c r="M453" s="11" t="s">
        <v>10</v>
      </c>
      <c r="N453" s="46">
        <f>SUM(N454:N456)</f>
        <v>0</v>
      </c>
      <c r="O453" s="46">
        <f>SUM(O454:O456)</f>
        <v>0</v>
      </c>
      <c r="P453" s="46">
        <f>SUM(P454:P456)</f>
        <v>0</v>
      </c>
      <c r="Q453" s="98">
        <f>SUM(Q454:Q456)</f>
        <v>0</v>
      </c>
      <c r="T453" s="9" t="s">
        <v>41</v>
      </c>
      <c r="U453" s="10" t="s">
        <v>42</v>
      </c>
      <c r="V453" s="11" t="s">
        <v>10</v>
      </c>
      <c r="W453" s="98">
        <f t="shared" ref="W453:AB453" si="192">SUM(W454:W456)</f>
        <v>0</v>
      </c>
      <c r="X453" s="98">
        <f t="shared" si="192"/>
        <v>0</v>
      </c>
      <c r="Y453" s="98">
        <f t="shared" si="192"/>
        <v>0</v>
      </c>
      <c r="Z453" s="98">
        <f t="shared" si="192"/>
        <v>0</v>
      </c>
      <c r="AA453" s="98">
        <f t="shared" si="192"/>
        <v>0</v>
      </c>
      <c r="AB453" s="98">
        <f t="shared" si="192"/>
        <v>0</v>
      </c>
      <c r="AC453" s="183"/>
      <c r="AD453" s="183"/>
      <c r="AK453" s="183"/>
      <c r="AL453" s="183"/>
      <c r="AM453" s="183"/>
      <c r="AN453" s="183"/>
    </row>
    <row r="454" spans="2:40" x14ac:dyDescent="0.25">
      <c r="B454" s="12" t="s">
        <v>43</v>
      </c>
      <c r="C454" s="13" t="s">
        <v>44</v>
      </c>
      <c r="D454" s="3" t="s">
        <v>10</v>
      </c>
      <c r="E454" s="49">
        <v>0</v>
      </c>
      <c r="F454" s="445">
        <v>0</v>
      </c>
      <c r="G454" s="49">
        <v>0</v>
      </c>
      <c r="H454" s="32">
        <f>IF(YEAR(Postup!$H$25)&gt;$D$424,Provozování!AO39,IF(AND(DAY(Postup!$H$25)=31,MONTH(Postup!$H$25)=12,YEAR(Postup!$H$25)=$D$424),Provozování!AO39,IF(YEAR(Postup!$H$25)=$D$424,Provozování!$BM39,0)))</f>
        <v>0</v>
      </c>
      <c r="K454" s="12" t="s">
        <v>43</v>
      </c>
      <c r="L454" s="13" t="s">
        <v>44</v>
      </c>
      <c r="M454" s="3" t="s">
        <v>10</v>
      </c>
      <c r="N454" s="49">
        <v>0</v>
      </c>
      <c r="O454" s="445">
        <v>0</v>
      </c>
      <c r="P454" s="49">
        <v>0</v>
      </c>
      <c r="Q454" s="59">
        <f>IF(Provozování!$AP$16="Neaktivní",0,Provozování!AQ39)</f>
        <v>0</v>
      </c>
      <c r="T454" s="12" t="s">
        <v>43</v>
      </c>
      <c r="U454" s="13" t="s">
        <v>44</v>
      </c>
      <c r="V454" s="3" t="s">
        <v>10</v>
      </c>
      <c r="W454" s="445">
        <v>0</v>
      </c>
      <c r="X454" s="445">
        <v>0</v>
      </c>
      <c r="Y454" s="445">
        <v>0</v>
      </c>
      <c r="Z454" s="595">
        <v>0</v>
      </c>
      <c r="AA454" s="49">
        <f>IF(Provozování!$AP$16="Neaktivní",H454,H454*Výpočty!$N$58+Q454)</f>
        <v>0</v>
      </c>
      <c r="AB454" s="32">
        <f t="shared" ref="AB454:AB457" si="193">Z454-AA454</f>
        <v>0</v>
      </c>
      <c r="AC454" s="183"/>
      <c r="AD454" s="183"/>
      <c r="AE454" s="951" t="s">
        <v>362</v>
      </c>
      <c r="AF454" s="952"/>
      <c r="AG454" s="447">
        <f>Y434</f>
        <v>2026</v>
      </c>
      <c r="AH454" s="447">
        <f>AG454</f>
        <v>2026</v>
      </c>
      <c r="AK454" s="183"/>
      <c r="AL454" s="183"/>
      <c r="AM454" s="183"/>
      <c r="AN454" s="183"/>
    </row>
    <row r="455" spans="2:40" x14ac:dyDescent="0.25">
      <c r="B455" s="12" t="s">
        <v>45</v>
      </c>
      <c r="C455" s="12" t="s">
        <v>46</v>
      </c>
      <c r="D455" s="3" t="s">
        <v>10</v>
      </c>
      <c r="E455" s="49">
        <v>0</v>
      </c>
      <c r="F455" s="590">
        <f>IF(YEAR(Postup!$H$25)&gt;$D$424,Provozování!AN40,IF(AND(DAY(Postup!$H$25)=31,MONTH(Postup!$H$25)=12,YEAR(Postup!$H$25)=$D$424),Provozování!AN40,IF(YEAR(Postup!$H$25)=$D$424,Provozování!$BL40,0)))</f>
        <v>0</v>
      </c>
      <c r="G455" s="49">
        <v>0</v>
      </c>
      <c r="H455" s="590">
        <f>IF(YEAR(Postup!$H$25)&gt;$D$424,Provozování!AO40,IF(AND(DAY(Postup!$H$25)=31,MONTH(Postup!$H$25)=12,YEAR(Postup!$H$25)=$D$424),Provozování!AO40,IF(YEAR(Postup!$H$25)=$D$424,Provozování!$BM40,0)))</f>
        <v>0</v>
      </c>
      <c r="K455" s="12" t="s">
        <v>45</v>
      </c>
      <c r="L455" s="12" t="s">
        <v>46</v>
      </c>
      <c r="M455" s="3" t="s">
        <v>10</v>
      </c>
      <c r="N455" s="49">
        <v>0</v>
      </c>
      <c r="O455" s="443">
        <f>IF(Provozování!$AP$16="Neaktivní",0,Provozování!AP40)</f>
        <v>0</v>
      </c>
      <c r="P455" s="49">
        <v>0</v>
      </c>
      <c r="Q455" s="443">
        <f>IF(Provozování!$AP$16="Neaktivní",0,Provozování!AQ40)</f>
        <v>0</v>
      </c>
      <c r="T455" s="12" t="s">
        <v>45</v>
      </c>
      <c r="U455" s="12" t="s">
        <v>46</v>
      </c>
      <c r="V455" s="3" t="s">
        <v>10</v>
      </c>
      <c r="W455" s="595">
        <v>0</v>
      </c>
      <c r="X455" s="49">
        <f>IF(Provozování!$AP$16="Neaktivní",F455,F455*Výpočty!$N$58+O455)</f>
        <v>0</v>
      </c>
      <c r="Y455" s="49">
        <f t="shared" ref="Y455:Y457" si="194">W455-X455</f>
        <v>0</v>
      </c>
      <c r="Z455" s="595">
        <v>0</v>
      </c>
      <c r="AA455" s="49">
        <f>IF(Provozování!$AP$16="Neaktivní",H455,H455*Výpočty!$N$58+Q455)</f>
        <v>0</v>
      </c>
      <c r="AB455" s="32">
        <f t="shared" si="193"/>
        <v>0</v>
      </c>
      <c r="AC455" s="183"/>
      <c r="AD455" s="183"/>
      <c r="AE455" s="953"/>
      <c r="AF455" s="954"/>
      <c r="AG455" s="957" t="s">
        <v>299</v>
      </c>
      <c r="AH455" s="957" t="s">
        <v>300</v>
      </c>
      <c r="AK455" s="183"/>
      <c r="AL455" s="183"/>
      <c r="AM455" s="183"/>
      <c r="AN455" s="183"/>
    </row>
    <row r="456" spans="2:40" x14ac:dyDescent="0.25">
      <c r="B456" s="12" t="s">
        <v>47</v>
      </c>
      <c r="C456" s="13" t="s">
        <v>48</v>
      </c>
      <c r="D456" s="3" t="s">
        <v>10</v>
      </c>
      <c r="E456" s="49">
        <v>0</v>
      </c>
      <c r="F456" s="590">
        <f>IF(YEAR(Postup!$H$25)&gt;$D$424,Provozování!AN41,IF(AND(DAY(Postup!$H$25)=31,MONTH(Postup!$H$25)=12,YEAR(Postup!$H$25)=$D$424),Provozování!AN41,IF(YEAR(Postup!$H$25)=$D$424,Provozování!$BL41,0)))</f>
        <v>0</v>
      </c>
      <c r="G456" s="49">
        <v>0</v>
      </c>
      <c r="H456" s="590">
        <f>IF(YEAR(Postup!$H$25)&gt;$D$424,Provozování!AO41,IF(AND(DAY(Postup!$H$25)=31,MONTH(Postup!$H$25)=12,YEAR(Postup!$H$25)=$D$424),Provozování!AO41,IF(YEAR(Postup!$H$25)=$D$424,Provozování!$BM41,0)))</f>
        <v>0</v>
      </c>
      <c r="K456" s="12" t="s">
        <v>47</v>
      </c>
      <c r="L456" s="13" t="s">
        <v>48</v>
      </c>
      <c r="M456" s="3" t="s">
        <v>10</v>
      </c>
      <c r="N456" s="49">
        <v>0</v>
      </c>
      <c r="O456" s="443">
        <f>IF(Provozování!$AP$16="Neaktivní",0,Provozování!AP41)</f>
        <v>0</v>
      </c>
      <c r="P456" s="49">
        <v>0</v>
      </c>
      <c r="Q456" s="443">
        <f>IF(Provozování!$AP$16="Neaktivní",0,Provozování!AQ41)</f>
        <v>0</v>
      </c>
      <c r="T456" s="12" t="s">
        <v>47</v>
      </c>
      <c r="U456" s="13" t="s">
        <v>48</v>
      </c>
      <c r="V456" s="3" t="s">
        <v>10</v>
      </c>
      <c r="W456" s="595">
        <v>0</v>
      </c>
      <c r="X456" s="49">
        <f>IF(Provozování!$AP$16="Neaktivní",F456,F456*Výpočty!$N$58+O456)</f>
        <v>0</v>
      </c>
      <c r="Y456" s="49">
        <f t="shared" si="194"/>
        <v>0</v>
      </c>
      <c r="Z456" s="595">
        <v>0</v>
      </c>
      <c r="AA456" s="49">
        <f>IF(Provozování!$AP$16="Neaktivní",H456,H456*Výpočty!$N$58+Q456)</f>
        <v>0</v>
      </c>
      <c r="AB456" s="32">
        <f t="shared" si="193"/>
        <v>0</v>
      </c>
      <c r="AC456" s="183"/>
      <c r="AD456" s="183"/>
      <c r="AE456" s="955"/>
      <c r="AF456" s="956"/>
      <c r="AG456" s="958"/>
      <c r="AH456" s="958"/>
      <c r="AK456" s="183"/>
      <c r="AL456" s="183"/>
      <c r="AM456" s="183"/>
      <c r="AN456" s="183"/>
    </row>
    <row r="457" spans="2:40" x14ac:dyDescent="0.25">
      <c r="B457" s="9" t="s">
        <v>49</v>
      </c>
      <c r="C457" s="10" t="s">
        <v>50</v>
      </c>
      <c r="D457" s="11" t="s">
        <v>10</v>
      </c>
      <c r="E457" s="49">
        <v>0</v>
      </c>
      <c r="F457" s="589">
        <f>IF(YEAR(Postup!$H$25)&gt;$D$424,Provozování!AN42,IF(AND(DAY(Postup!$H$25)=31,MONTH(Postup!$H$25)=12,YEAR(Postup!$H$25)=$D$424),Provozování!AN42,IF(YEAR(Postup!$H$25)=$D$424,Provozování!$BL42,0)))</f>
        <v>0</v>
      </c>
      <c r="G457" s="49">
        <v>0</v>
      </c>
      <c r="H457" s="590">
        <f>IF(YEAR(Postup!$H$25)&gt;$D$424,Provozování!AO42,IF(AND(DAY(Postup!$H$25)=31,MONTH(Postup!$H$25)=12,YEAR(Postup!$H$25)=$D$424),Provozování!AO42,IF(YEAR(Postup!$H$25)=$D$424,Provozování!$BM42,0)))</f>
        <v>0</v>
      </c>
      <c r="K457" s="9" t="s">
        <v>49</v>
      </c>
      <c r="L457" s="10" t="s">
        <v>50</v>
      </c>
      <c r="M457" s="11" t="s">
        <v>10</v>
      </c>
      <c r="N457" s="49">
        <v>0</v>
      </c>
      <c r="O457" s="444">
        <f>IF(Provozování!$AP$16="Neaktivní",0,Provozování!AP42)</f>
        <v>0</v>
      </c>
      <c r="P457" s="49">
        <v>0</v>
      </c>
      <c r="Q457" s="450">
        <f>IF(Provozování!$AP$16="Neaktivní",0,Provozování!AQ42)</f>
        <v>0</v>
      </c>
      <c r="T457" s="9" t="s">
        <v>49</v>
      </c>
      <c r="U457" s="10" t="s">
        <v>50</v>
      </c>
      <c r="V457" s="11" t="s">
        <v>10</v>
      </c>
      <c r="W457" s="595">
        <v>0</v>
      </c>
      <c r="X457" s="49">
        <f>IF(Provozování!$AP$16="Neaktivní",F457,F457*Výpočty!$N$58+O457)</f>
        <v>0</v>
      </c>
      <c r="Y457" s="49">
        <f t="shared" si="194"/>
        <v>0</v>
      </c>
      <c r="Z457" s="595">
        <v>0</v>
      </c>
      <c r="AA457" s="49">
        <f>IF(Provozování!$AP$16="Neaktivní",H457,H457*Výpočty!$N$58+Q457)</f>
        <v>0</v>
      </c>
      <c r="AB457" s="32">
        <f t="shared" si="193"/>
        <v>0</v>
      </c>
      <c r="AC457" s="183"/>
      <c r="AD457" s="183"/>
      <c r="AE457" s="12" t="s">
        <v>405</v>
      </c>
      <c r="AF457" s="12" t="s">
        <v>408</v>
      </c>
      <c r="AG457" s="542">
        <f>Z485</f>
        <v>0</v>
      </c>
      <c r="AH457" s="542">
        <f>AB485</f>
        <v>0</v>
      </c>
      <c r="AK457" s="183"/>
      <c r="AL457" s="183"/>
      <c r="AM457" s="183"/>
      <c r="AN457" s="183"/>
    </row>
    <row r="458" spans="2:40" x14ac:dyDescent="0.25">
      <c r="B458" s="9" t="s">
        <v>51</v>
      </c>
      <c r="C458" s="10" t="s">
        <v>52</v>
      </c>
      <c r="D458" s="11" t="s">
        <v>10</v>
      </c>
      <c r="E458" s="49">
        <v>0</v>
      </c>
      <c r="F458" s="589">
        <f>IF(YEAR(Postup!$H$25)&gt;$D$424,Provozování!AN43-Provozování!AN97,IF(AND(DAY(Postup!$H$25)=31,MONTH(Postup!$H$25)=12,YEAR(Postup!$H$25)=$D$424),Provozování!AN43-Provozování!AN97,IF(YEAR(Postup!$H$25)=$D$424,Provozování!$BL43-Provozování!AN97,0)))</f>
        <v>0</v>
      </c>
      <c r="G458" s="49">
        <v>0</v>
      </c>
      <c r="H458" s="590">
        <f>IF(YEAR(Postup!$H$25)&gt;$D$424,Provozování!AO43-Provozování!AO97,IF(AND(DAY(Postup!$H$25)=31,MONTH(Postup!$H$25)=12,YEAR(Postup!$H$25)=$D$424),Provozování!AO43-Provozování!AO97,IF(YEAR(Postup!$H$25)=$D$424,Provozování!$BM43-Provozování!AO97,0)))</f>
        <v>0</v>
      </c>
      <c r="K458" s="9" t="s">
        <v>51</v>
      </c>
      <c r="L458" s="10" t="s">
        <v>52</v>
      </c>
      <c r="M458" s="11" t="s">
        <v>10</v>
      </c>
      <c r="N458" s="49">
        <v>0</v>
      </c>
      <c r="O458" s="444">
        <f>IF(Provozování!$AP$16="Neaktivní",0,Provozování!AP43-Provozování!AN97*Výpočty!N53)</f>
        <v>0</v>
      </c>
      <c r="P458" s="49">
        <v>0</v>
      </c>
      <c r="Q458" s="450">
        <f>IF(Provozování!$AP$16="Neaktivní",0,Provozování!AQ43-Provozování!AO97*Výpočty!N53)</f>
        <v>0</v>
      </c>
      <c r="T458" s="9" t="s">
        <v>51</v>
      </c>
      <c r="U458" s="10" t="s">
        <v>52</v>
      </c>
      <c r="V458" s="11" t="s">
        <v>10</v>
      </c>
      <c r="W458" s="595">
        <v>0</v>
      </c>
      <c r="X458" s="49">
        <f>IF(Provozování!$AP$16="Neaktivní",F458,F458*Výpočty!$N$58+O458)</f>
        <v>0</v>
      </c>
      <c r="Y458" s="49">
        <f>ABS(W458)-ABS(X458)</f>
        <v>0</v>
      </c>
      <c r="Z458" s="595">
        <v>0</v>
      </c>
      <c r="AA458" s="49">
        <f>IF(Provozování!$AP$16="Neaktivní",H458,H458*Výpočty!$N$58+Q458)</f>
        <v>0</v>
      </c>
      <c r="AB458" s="32">
        <f>ABS(Z458)-ABS(AA458)</f>
        <v>0</v>
      </c>
      <c r="AC458" s="183"/>
      <c r="AD458" s="183"/>
      <c r="AE458" s="12" t="s">
        <v>406</v>
      </c>
      <c r="AF458" s="13" t="s">
        <v>410</v>
      </c>
      <c r="AG458" s="360">
        <f>Y484</f>
        <v>0</v>
      </c>
      <c r="AH458" s="360">
        <f>AA484</f>
        <v>0</v>
      </c>
      <c r="AK458" s="183"/>
      <c r="AL458" s="183"/>
      <c r="AM458" s="183"/>
      <c r="AN458" s="183"/>
    </row>
    <row r="459" spans="2:40" x14ac:dyDescent="0.25">
      <c r="B459" s="9" t="s">
        <v>53</v>
      </c>
      <c r="C459" s="10" t="s">
        <v>54</v>
      </c>
      <c r="D459" s="11" t="s">
        <v>10</v>
      </c>
      <c r="E459" s="49">
        <v>0</v>
      </c>
      <c r="F459" s="590">
        <f>IF(YEAR(Postup!$H$25)&gt;$D$424,Provozování!AN44,IF(AND(DAY(Postup!$H$25)=31,MONTH(Postup!$H$25)=12,YEAR(Postup!$H$25)=$D$424),Provozování!AN44,IF(YEAR(Postup!$H$25)=$D$424,Provozování!$BL44,0)))</f>
        <v>0</v>
      </c>
      <c r="G459" s="49">
        <v>0</v>
      </c>
      <c r="H459" s="590">
        <f>IF(YEAR(Postup!$H$25)&gt;$D$424,Provozování!AO44,IF(AND(DAY(Postup!$H$25)=31,MONTH(Postup!$H$25)=12,YEAR(Postup!$H$25)=$D$424),Provozování!AO44,IF(YEAR(Postup!$H$25)=$D$424,Provozování!$BM44,0)))</f>
        <v>0</v>
      </c>
      <c r="K459" s="9" t="s">
        <v>53</v>
      </c>
      <c r="L459" s="10" t="s">
        <v>54</v>
      </c>
      <c r="M459" s="11" t="s">
        <v>10</v>
      </c>
      <c r="N459" s="49">
        <v>0</v>
      </c>
      <c r="O459" s="443">
        <f>IF(Provozování!$AP$16="Neaktivní",0,Provozování!AP44)</f>
        <v>0</v>
      </c>
      <c r="P459" s="49">
        <v>0</v>
      </c>
      <c r="Q459" s="443">
        <f>IF(Provozování!$AP$16="Neaktivní",0,Provozování!AQ44)</f>
        <v>0</v>
      </c>
      <c r="T459" s="9" t="s">
        <v>53</v>
      </c>
      <c r="U459" s="10" t="s">
        <v>54</v>
      </c>
      <c r="V459" s="11" t="s">
        <v>10</v>
      </c>
      <c r="W459" s="595">
        <v>0</v>
      </c>
      <c r="X459" s="49">
        <f>IF(Provozování!$AP$16="Neaktivní",F459,F459*Výpočty!$N$58+O459)</f>
        <v>0</v>
      </c>
      <c r="Y459" s="49">
        <f t="shared" ref="Y459:Y460" si="195">W459-X459</f>
        <v>0</v>
      </c>
      <c r="Z459" s="595">
        <v>0</v>
      </c>
      <c r="AA459" s="49">
        <f>IF(Provozování!$AP$16="Neaktivní",H459,H459*Výpočty!$N$58+Q459)</f>
        <v>0</v>
      </c>
      <c r="AB459" s="32">
        <f t="shared" ref="AB459:AB460" si="196">Z459-AA459</f>
        <v>0</v>
      </c>
      <c r="AC459" s="183"/>
      <c r="AD459" s="183"/>
      <c r="AE459" s="12" t="s">
        <v>407</v>
      </c>
      <c r="AF459" s="13" t="s">
        <v>409</v>
      </c>
      <c r="AG459" s="360">
        <f>Z484</f>
        <v>0</v>
      </c>
      <c r="AH459" s="360">
        <f>AB484</f>
        <v>0</v>
      </c>
      <c r="AK459" s="183"/>
      <c r="AL459" s="183"/>
      <c r="AM459" s="183"/>
      <c r="AN459" s="183"/>
    </row>
    <row r="460" spans="2:40" x14ac:dyDescent="0.25">
      <c r="B460" s="9" t="s">
        <v>55</v>
      </c>
      <c r="C460" s="10" t="s">
        <v>56</v>
      </c>
      <c r="D460" s="11" t="s">
        <v>10</v>
      </c>
      <c r="E460" s="49">
        <v>0</v>
      </c>
      <c r="F460" s="590">
        <f>IF(YEAR(Postup!$H$25)&gt;$D$424,Provozování!AN45,IF(AND(DAY(Postup!$H$25)=31,MONTH(Postup!$H$25)=12,YEAR(Postup!$H$25)=$D$424),Provozování!AN45,IF(YEAR(Postup!$H$25)=$D$424,Provozování!$BL45,0)))</f>
        <v>0</v>
      </c>
      <c r="G460" s="49">
        <v>0</v>
      </c>
      <c r="H460" s="590">
        <f>IF(YEAR(Postup!$H$25)&gt;$D$424,Provozování!AO45,IF(AND(DAY(Postup!$H$25)=31,MONTH(Postup!$H$25)=12,YEAR(Postup!$H$25)=$D$424),Provozování!AO45,IF(YEAR(Postup!$H$25)=$D$424,Provozování!$BM45,0)))</f>
        <v>0</v>
      </c>
      <c r="K460" s="9" t="s">
        <v>55</v>
      </c>
      <c r="L460" s="10" t="s">
        <v>56</v>
      </c>
      <c r="M460" s="11" t="s">
        <v>10</v>
      </c>
      <c r="N460" s="49">
        <v>0</v>
      </c>
      <c r="O460" s="443">
        <f>IF(Provozování!$AP$16="Neaktivní",0,Provozování!AP45)</f>
        <v>0</v>
      </c>
      <c r="P460" s="49">
        <v>0</v>
      </c>
      <c r="Q460" s="443">
        <f>IF(Provozování!$AP$16="Neaktivní",0,Provozování!AQ45)</f>
        <v>0</v>
      </c>
      <c r="T460" s="9" t="s">
        <v>55</v>
      </c>
      <c r="U460" s="10" t="s">
        <v>56</v>
      </c>
      <c r="V460" s="11" t="s">
        <v>10</v>
      </c>
      <c r="W460" s="595">
        <v>0</v>
      </c>
      <c r="X460" s="49">
        <f>IF(Provozování!$AP$16="Neaktivní",F460,F460*Výpočty!$N$58+O460)</f>
        <v>0</v>
      </c>
      <c r="Y460" s="49">
        <f t="shared" si="195"/>
        <v>0</v>
      </c>
      <c r="Z460" s="595">
        <v>0</v>
      </c>
      <c r="AA460" s="49">
        <f>IF(Provozování!$AP$16="Neaktivní",H460,H460*Výpočty!$N$58+Q460)</f>
        <v>0</v>
      </c>
      <c r="AB460" s="32">
        <f t="shared" si="196"/>
        <v>0</v>
      </c>
      <c r="AC460" s="183"/>
      <c r="AD460" s="183"/>
      <c r="AE460" s="12" t="s">
        <v>411</v>
      </c>
      <c r="AF460" s="12" t="s">
        <v>419</v>
      </c>
      <c r="AG460" s="360">
        <f>X461-X451</f>
        <v>0</v>
      </c>
      <c r="AH460" s="360">
        <f>AA461-AA451</f>
        <v>0</v>
      </c>
      <c r="AK460" s="183"/>
      <c r="AL460" s="183"/>
      <c r="AM460" s="183"/>
      <c r="AN460" s="183"/>
    </row>
    <row r="461" spans="2:40" x14ac:dyDescent="0.25">
      <c r="B461" s="9" t="s">
        <v>57</v>
      </c>
      <c r="C461" s="10" t="s">
        <v>58</v>
      </c>
      <c r="D461" s="11" t="s">
        <v>10</v>
      </c>
      <c r="E461" s="46">
        <f>E437+E442+E445+E448+E453+E457+E458+E459+E460</f>
        <v>0</v>
      </c>
      <c r="F461" s="46">
        <f>F437+F442+F445+F448+F453+F457+F458+F459+F460</f>
        <v>0</v>
      </c>
      <c r="G461" s="46">
        <f>G437+G442+G445+G448+G453+G457+G458+G459+G460</f>
        <v>0</v>
      </c>
      <c r="H461" s="98">
        <f>H437+H442+H445+H448+H453+H457+H458+H459+H460</f>
        <v>0</v>
      </c>
      <c r="K461" s="9" t="s">
        <v>57</v>
      </c>
      <c r="L461" s="10" t="s">
        <v>58</v>
      </c>
      <c r="M461" s="11" t="s">
        <v>10</v>
      </c>
      <c r="N461" s="46">
        <f>N437+N442+N445+N448+N453+N457+N458+N459+N460</f>
        <v>0</v>
      </c>
      <c r="O461" s="46">
        <f>O437+O442+O445+O448+O453+O457+O458+O459+O460</f>
        <v>0</v>
      </c>
      <c r="P461" s="46">
        <f>P437+P442+P445+P448+P453+P457+P458+P459+P460</f>
        <v>0</v>
      </c>
      <c r="Q461" s="98">
        <f>Q437+Q442+Q445+Q448+Q453+Q457+Q458+Q459+Q460</f>
        <v>0</v>
      </c>
      <c r="T461" s="9" t="s">
        <v>57</v>
      </c>
      <c r="U461" s="10" t="s">
        <v>58</v>
      </c>
      <c r="V461" s="11" t="s">
        <v>10</v>
      </c>
      <c r="W461" s="46">
        <f t="shared" ref="W461:AB461" si="197">W437+W442+W445+W448+W453+W457+W458+W459+W460</f>
        <v>0</v>
      </c>
      <c r="X461" s="46">
        <f t="shared" si="197"/>
        <v>0</v>
      </c>
      <c r="Y461" s="46">
        <f t="shared" si="197"/>
        <v>0</v>
      </c>
      <c r="Z461" s="46">
        <f t="shared" si="197"/>
        <v>0</v>
      </c>
      <c r="AA461" s="46">
        <f t="shared" si="197"/>
        <v>0</v>
      </c>
      <c r="AB461" s="98">
        <f t="shared" si="197"/>
        <v>0</v>
      </c>
      <c r="AC461" s="183"/>
      <c r="AD461" s="183"/>
      <c r="AE461" s="12" t="s">
        <v>412</v>
      </c>
      <c r="AF461" s="12" t="s">
        <v>418</v>
      </c>
      <c r="AG461" s="360">
        <f>W461-W451</f>
        <v>0</v>
      </c>
      <c r="AH461" s="360">
        <f>Z461-Z451</f>
        <v>0</v>
      </c>
      <c r="AK461" s="183"/>
      <c r="AL461" s="183"/>
      <c r="AM461" s="183"/>
      <c r="AN461" s="183"/>
    </row>
    <row r="462" spans="2:40" x14ac:dyDescent="0.25">
      <c r="B462" s="12" t="s">
        <v>59</v>
      </c>
      <c r="C462" s="13" t="s">
        <v>112</v>
      </c>
      <c r="D462" s="3" t="s">
        <v>10</v>
      </c>
      <c r="E462" s="437">
        <v>0</v>
      </c>
      <c r="F462" s="591">
        <f>F392</f>
        <v>0</v>
      </c>
      <c r="G462" s="437">
        <v>0</v>
      </c>
      <c r="H462" s="593">
        <f>H392</f>
        <v>0</v>
      </c>
      <c r="K462" s="12" t="s">
        <v>59</v>
      </c>
      <c r="L462" s="13" t="s">
        <v>112</v>
      </c>
      <c r="M462" s="3" t="s">
        <v>10</v>
      </c>
      <c r="N462" s="437">
        <v>0</v>
      </c>
      <c r="O462" s="437">
        <f>IF(Provozování!$V$16="Neaktivní",0,F462)</f>
        <v>0</v>
      </c>
      <c r="P462" s="437">
        <v>0</v>
      </c>
      <c r="Q462" s="438">
        <f>IF(Provozování!$V$16="Neaktivní",0,H462)</f>
        <v>0</v>
      </c>
      <c r="T462" s="47" t="s">
        <v>59</v>
      </c>
      <c r="U462" s="13" t="s">
        <v>112</v>
      </c>
      <c r="V462" s="3" t="s">
        <v>10</v>
      </c>
      <c r="W462" s="591">
        <v>0</v>
      </c>
      <c r="X462" s="437">
        <f>F462</f>
        <v>0</v>
      </c>
      <c r="Y462" s="437">
        <f>W462-X462</f>
        <v>0</v>
      </c>
      <c r="Z462" s="591">
        <v>0</v>
      </c>
      <c r="AA462" s="437">
        <f>H462</f>
        <v>0</v>
      </c>
      <c r="AB462" s="438">
        <f>Z462-AA462</f>
        <v>0</v>
      </c>
      <c r="AC462" s="183"/>
      <c r="AD462" s="183"/>
      <c r="AE462" s="12" t="s">
        <v>430</v>
      </c>
      <c r="AF462" s="12" t="s">
        <v>431</v>
      </c>
      <c r="AG462" s="360">
        <f>Provozování!AN$97</f>
        <v>0</v>
      </c>
      <c r="AH462" s="360">
        <f ca="1">Provozování!AO$97</f>
        <v>0</v>
      </c>
      <c r="AK462" s="183"/>
      <c r="AL462" s="183"/>
      <c r="AM462" s="183"/>
      <c r="AN462" s="183"/>
    </row>
    <row r="463" spans="2:40" x14ac:dyDescent="0.25">
      <c r="B463" s="12" t="s">
        <v>60</v>
      </c>
      <c r="C463" s="13" t="s">
        <v>113</v>
      </c>
      <c r="D463" s="3" t="s">
        <v>10</v>
      </c>
      <c r="E463" s="437">
        <v>0</v>
      </c>
      <c r="F463" s="591">
        <f>F393</f>
        <v>0</v>
      </c>
      <c r="G463" s="437">
        <v>0</v>
      </c>
      <c r="H463" s="593">
        <f>H393</f>
        <v>0</v>
      </c>
      <c r="K463" s="12" t="s">
        <v>60</v>
      </c>
      <c r="L463" s="13" t="s">
        <v>113</v>
      </c>
      <c r="M463" s="3" t="s">
        <v>10</v>
      </c>
      <c r="N463" s="437">
        <v>0</v>
      </c>
      <c r="O463" s="437">
        <f>IF(Provozování!$V$16="Neaktivní",0,F463)</f>
        <v>0</v>
      </c>
      <c r="P463" s="437">
        <v>0</v>
      </c>
      <c r="Q463" s="438">
        <f>IF(Provozování!$V$16="Neaktivní",0,H463)</f>
        <v>0</v>
      </c>
      <c r="T463" s="12" t="s">
        <v>60</v>
      </c>
      <c r="U463" s="13" t="s">
        <v>113</v>
      </c>
      <c r="V463" s="3" t="s">
        <v>10</v>
      </c>
      <c r="W463" s="591">
        <v>0</v>
      </c>
      <c r="X463" s="437">
        <f>F463</f>
        <v>0</v>
      </c>
      <c r="Y463" s="437">
        <f>W463-X463</f>
        <v>0</v>
      </c>
      <c r="Z463" s="591">
        <v>0</v>
      </c>
      <c r="AA463" s="437">
        <f>H463</f>
        <v>0</v>
      </c>
      <c r="AB463" s="438">
        <f>Z463-AA463</f>
        <v>0</v>
      </c>
      <c r="AC463" s="183"/>
      <c r="AD463" s="183"/>
      <c r="AE463" s="554" t="s">
        <v>434</v>
      </c>
      <c r="AF463" s="555"/>
      <c r="AG463" s="959">
        <f>(AG457*AG458-AG457*AG459)+(AG460-AG461)-AG462</f>
        <v>0</v>
      </c>
      <c r="AH463" s="959">
        <f ca="1">(AH457*AH458-AH457*AH459)+(AH460-AH461)-AH462</f>
        <v>0</v>
      </c>
      <c r="AK463" s="183"/>
      <c r="AL463" s="183"/>
      <c r="AM463" s="183"/>
      <c r="AN463" s="183"/>
    </row>
    <row r="464" spans="2:40" x14ac:dyDescent="0.25">
      <c r="B464" s="12" t="s">
        <v>61</v>
      </c>
      <c r="C464" s="13" t="s">
        <v>62</v>
      </c>
      <c r="D464" s="3" t="s">
        <v>63</v>
      </c>
      <c r="E464" s="439">
        <v>0</v>
      </c>
      <c r="F464" s="592">
        <f>F394</f>
        <v>0</v>
      </c>
      <c r="G464" s="439">
        <v>0</v>
      </c>
      <c r="H464" s="592">
        <f>H394</f>
        <v>0</v>
      </c>
      <c r="K464" s="12" t="s">
        <v>61</v>
      </c>
      <c r="L464" s="13" t="s">
        <v>62</v>
      </c>
      <c r="M464" s="3" t="s">
        <v>63</v>
      </c>
      <c r="N464" s="439">
        <v>0</v>
      </c>
      <c r="O464" s="439">
        <f>IF(Provozování!$V$16="Neaktivní",0,F464)</f>
        <v>0</v>
      </c>
      <c r="P464" s="439">
        <v>0</v>
      </c>
      <c r="Q464" s="440">
        <f>IF(Provozování!$V$16="Neaktivní",0,H464)</f>
        <v>0</v>
      </c>
      <c r="T464" s="12" t="s">
        <v>61</v>
      </c>
      <c r="U464" s="13" t="s">
        <v>62</v>
      </c>
      <c r="V464" s="3" t="s">
        <v>63</v>
      </c>
      <c r="W464" s="599">
        <v>0</v>
      </c>
      <c r="X464" s="439">
        <f>F464</f>
        <v>0</v>
      </c>
      <c r="Y464" s="440">
        <f>W464-X464</f>
        <v>0</v>
      </c>
      <c r="Z464" s="599">
        <v>0</v>
      </c>
      <c r="AA464" s="439">
        <f>H464</f>
        <v>0</v>
      </c>
      <c r="AB464" s="440">
        <f>Z464-AA464</f>
        <v>0</v>
      </c>
      <c r="AC464" s="183"/>
      <c r="AD464" s="183"/>
      <c r="AE464" s="544" t="s">
        <v>432</v>
      </c>
      <c r="AF464" s="543"/>
      <c r="AG464" s="960"/>
      <c r="AH464" s="960"/>
      <c r="AK464" s="183"/>
      <c r="AL464" s="183"/>
      <c r="AM464" s="183"/>
      <c r="AN464" s="183"/>
    </row>
    <row r="465" spans="2:40" x14ac:dyDescent="0.25">
      <c r="B465" s="12" t="s">
        <v>64</v>
      </c>
      <c r="C465" s="13" t="s">
        <v>65</v>
      </c>
      <c r="D465" s="3" t="s">
        <v>66</v>
      </c>
      <c r="E465" s="49">
        <v>0</v>
      </c>
      <c r="F465" s="49">
        <f>IF(YEAR(Postup!$H$25)&gt;$D$424,Provozování!AN47,IF(AND(DAY(Postup!$H$25)=31,MONTH(Postup!$H$25)=12,YEAR(Postup!$H$25)=$D$424),Provozování!AN47,IF(YEAR(Postup!$H$25)=$D$424,Provozování!$BL47,0)))</f>
        <v>0</v>
      </c>
      <c r="G465" s="49">
        <v>0</v>
      </c>
      <c r="H465" s="442">
        <v>0</v>
      </c>
      <c r="K465" s="12" t="s">
        <v>64</v>
      </c>
      <c r="L465" s="13" t="s">
        <v>65</v>
      </c>
      <c r="M465" s="3" t="s">
        <v>66</v>
      </c>
      <c r="N465" s="49">
        <v>0</v>
      </c>
      <c r="O465" s="49">
        <f>IF(Provozování!$AP$16="Neaktivní",0,Provozování!AP47)</f>
        <v>0</v>
      </c>
      <c r="P465" s="49">
        <v>0</v>
      </c>
      <c r="Q465" s="442">
        <v>0</v>
      </c>
      <c r="T465" s="12" t="s">
        <v>64</v>
      </c>
      <c r="U465" s="13" t="s">
        <v>65</v>
      </c>
      <c r="V465" s="3" t="s">
        <v>66</v>
      </c>
      <c r="W465" s="595">
        <v>0</v>
      </c>
      <c r="X465" s="49">
        <f>IF(Provozování!$AP$16="Neaktivní",F465,F465*Výpočty!$N$58+O465)</f>
        <v>0</v>
      </c>
      <c r="Y465" s="49">
        <f>W465-X465</f>
        <v>0</v>
      </c>
      <c r="Z465" s="445">
        <v>0</v>
      </c>
      <c r="AA465" s="445">
        <v>0</v>
      </c>
      <c r="AB465" s="442">
        <v>0</v>
      </c>
      <c r="AC465" s="183"/>
      <c r="AD465" s="183"/>
      <c r="AE465" s="963" t="s">
        <v>416</v>
      </c>
      <c r="AF465" s="964"/>
      <c r="AG465" s="957" t="str">
        <f>IF(AG463&gt;0,"úspora",IF(AG463&lt;0,"ztráta provozovatele","-"))</f>
        <v>-</v>
      </c>
      <c r="AH465" s="957" t="str">
        <f ca="1">IF(AH463&gt;0,"úspora",IF(AH463&lt;0,"ztráta provozovatele","-"))</f>
        <v>-</v>
      </c>
      <c r="AK465" s="183"/>
      <c r="AL465" s="183"/>
      <c r="AM465" s="183"/>
      <c r="AN465" s="183"/>
    </row>
    <row r="466" spans="2:40" x14ac:dyDescent="0.25">
      <c r="B466" s="12" t="s">
        <v>67</v>
      </c>
      <c r="C466" s="13" t="s">
        <v>68</v>
      </c>
      <c r="D466" s="3" t="s">
        <v>66</v>
      </c>
      <c r="E466" s="49">
        <v>0</v>
      </c>
      <c r="F466" s="49">
        <f>IF(YEAR(Postup!$H$25)&gt;$D$424,Provozování!AN48,IF(AND(DAY(Postup!$H$25)=31,MONTH(Postup!$H$25)=12,YEAR(Postup!$H$25)=$D$424),Provozování!AN48,IF(YEAR(Postup!$H$25)=$D$424,Provozování!$BL48,0)))</f>
        <v>0</v>
      </c>
      <c r="G466" s="49">
        <v>0</v>
      </c>
      <c r="H466" s="442">
        <v>0</v>
      </c>
      <c r="K466" s="12" t="s">
        <v>67</v>
      </c>
      <c r="L466" s="13" t="s">
        <v>68</v>
      </c>
      <c r="M466" s="3" t="s">
        <v>66</v>
      </c>
      <c r="N466" s="49">
        <v>0</v>
      </c>
      <c r="O466" s="49">
        <f>IF(Provozování!$AP$16="Neaktivní",0,Provozování!AP48)</f>
        <v>0</v>
      </c>
      <c r="P466" s="49">
        <v>0</v>
      </c>
      <c r="Q466" s="442">
        <v>0</v>
      </c>
      <c r="T466" s="12" t="s">
        <v>67</v>
      </c>
      <c r="U466" s="13" t="s">
        <v>68</v>
      </c>
      <c r="V466" s="3" t="s">
        <v>66</v>
      </c>
      <c r="W466" s="595">
        <v>0</v>
      </c>
      <c r="X466" s="49">
        <f>IF(Provozování!$AP$16="Neaktivní",F466,F466*Výpočty!$N$58+O466)</f>
        <v>0</v>
      </c>
      <c r="Y466" s="49">
        <f>W466-X466</f>
        <v>0</v>
      </c>
      <c r="Z466" s="445">
        <v>0</v>
      </c>
      <c r="AA466" s="445">
        <v>0</v>
      </c>
      <c r="AB466" s="442">
        <v>0</v>
      </c>
      <c r="AC466" s="183"/>
      <c r="AD466" s="183"/>
      <c r="AE466" s="965"/>
      <c r="AF466" s="966"/>
      <c r="AG466" s="958"/>
      <c r="AH466" s="958"/>
      <c r="AK466" s="183"/>
      <c r="AL466" s="183"/>
      <c r="AM466" s="183"/>
      <c r="AN466" s="183"/>
    </row>
    <row r="467" spans="2:40" x14ac:dyDescent="0.25">
      <c r="B467" s="12" t="s">
        <v>69</v>
      </c>
      <c r="C467" s="13" t="s">
        <v>70</v>
      </c>
      <c r="D467" s="3" t="s">
        <v>66</v>
      </c>
      <c r="E467" s="49">
        <v>0</v>
      </c>
      <c r="F467" s="445">
        <v>0</v>
      </c>
      <c r="G467" s="49">
        <v>0</v>
      </c>
      <c r="H467" s="32">
        <f>IF(YEAR(Postup!$H$25)&gt;$D$424,Provozování!AO49,IF(AND(DAY(Postup!$H$25)=31,MONTH(Postup!$H$25)=12,YEAR(Postup!$H$25)=$D$424),Provozování!AO49,IF(YEAR(Postup!$H$25)=$D$424,Provozování!$BM49,0)))</f>
        <v>0</v>
      </c>
      <c r="K467" s="12" t="s">
        <v>69</v>
      </c>
      <c r="L467" s="13" t="s">
        <v>70</v>
      </c>
      <c r="M467" s="3" t="s">
        <v>66</v>
      </c>
      <c r="N467" s="49">
        <v>0</v>
      </c>
      <c r="O467" s="445">
        <v>0</v>
      </c>
      <c r="P467" s="49">
        <v>0</v>
      </c>
      <c r="Q467" s="32">
        <f>IF(Provozování!$AP$16="Neaktivní",0,Provozování!AQ49)</f>
        <v>0</v>
      </c>
      <c r="T467" s="12" t="s">
        <v>69</v>
      </c>
      <c r="U467" s="13" t="s">
        <v>70</v>
      </c>
      <c r="V467" s="3" t="s">
        <v>66</v>
      </c>
      <c r="W467" s="445">
        <v>0</v>
      </c>
      <c r="X467" s="445">
        <v>0</v>
      </c>
      <c r="Y467" s="445">
        <v>0</v>
      </c>
      <c r="Z467" s="595">
        <v>0</v>
      </c>
      <c r="AA467" s="49">
        <f>IF(Provozování!$AP$16="Neaktivní",H467,H467*Výpočty!$N$58+Q467)</f>
        <v>0</v>
      </c>
      <c r="AB467" s="32">
        <f t="shared" ref="AB467:AB472" si="198">Z467-AA467</f>
        <v>0</v>
      </c>
      <c r="AC467" s="183"/>
      <c r="AD467" s="183"/>
      <c r="AE467" s="533" t="s">
        <v>422</v>
      </c>
      <c r="AF467" s="533"/>
      <c r="AG467" s="453">
        <f>IF(AG463&gt;0,AG463/AG460,0)</f>
        <v>0</v>
      </c>
      <c r="AH467" s="453">
        <f ca="1">IF(AH463&gt;0,AH463/AH460,0)</f>
        <v>0</v>
      </c>
      <c r="AK467" s="183"/>
      <c r="AL467" s="183"/>
      <c r="AM467" s="183"/>
      <c r="AN467" s="183"/>
    </row>
    <row r="468" spans="2:40" x14ac:dyDescent="0.25">
      <c r="B468" s="12" t="s">
        <v>71</v>
      </c>
      <c r="C468" s="13" t="s">
        <v>68</v>
      </c>
      <c r="D468" s="3" t="s">
        <v>66</v>
      </c>
      <c r="E468" s="49">
        <v>0</v>
      </c>
      <c r="F468" s="445">
        <v>0</v>
      </c>
      <c r="G468" s="49">
        <v>0</v>
      </c>
      <c r="H468" s="32">
        <f>IF(YEAR(Postup!$H$25)&gt;$D$424,Provozování!AO50,IF(AND(DAY(Postup!$H$25)=31,MONTH(Postup!$H$25)=12,YEAR(Postup!$H$25)=$D$424),Provozování!AO50,IF(YEAR(Postup!$H$25)=$D$424,Provozování!$BM50,0)))</f>
        <v>0</v>
      </c>
      <c r="K468" s="12" t="s">
        <v>71</v>
      </c>
      <c r="L468" s="13" t="s">
        <v>68</v>
      </c>
      <c r="M468" s="3" t="s">
        <v>66</v>
      </c>
      <c r="N468" s="49">
        <v>0</v>
      </c>
      <c r="O468" s="445">
        <v>0</v>
      </c>
      <c r="P468" s="49">
        <v>0</v>
      </c>
      <c r="Q468" s="32">
        <f>IF(Provozování!$AP$16="Neaktivní",0,Provozování!AQ50)</f>
        <v>0</v>
      </c>
      <c r="T468" s="12" t="s">
        <v>71</v>
      </c>
      <c r="U468" s="13" t="s">
        <v>68</v>
      </c>
      <c r="V468" s="3" t="s">
        <v>66</v>
      </c>
      <c r="W468" s="445">
        <v>0</v>
      </c>
      <c r="X468" s="445">
        <v>0</v>
      </c>
      <c r="Y468" s="445">
        <v>0</v>
      </c>
      <c r="Z468" s="595">
        <v>0</v>
      </c>
      <c r="AA468" s="49">
        <f>IF(Provozování!$AP$16="Neaktivní",H468,H468*Výpočty!$N$58+Q468)</f>
        <v>0</v>
      </c>
      <c r="AB468" s="32">
        <f t="shared" si="198"/>
        <v>0</v>
      </c>
      <c r="AC468" s="183"/>
      <c r="AD468" s="183"/>
      <c r="AE468" s="556" t="s">
        <v>402</v>
      </c>
      <c r="AF468" s="556"/>
      <c r="AG468" s="961">
        <f>IF(AG467&gt;0,AG460*AI469*0.5,0)</f>
        <v>0</v>
      </c>
      <c r="AH468" s="961">
        <f ca="1">IF(AH467&gt;0,AH460*AJ469*0.5,0)</f>
        <v>0</v>
      </c>
      <c r="AK468" s="183"/>
      <c r="AL468" s="183"/>
      <c r="AM468" s="183"/>
      <c r="AN468" s="183"/>
    </row>
    <row r="469" spans="2:40" x14ac:dyDescent="0.25">
      <c r="B469" s="12" t="s">
        <v>72</v>
      </c>
      <c r="C469" s="13" t="s">
        <v>73</v>
      </c>
      <c r="D469" s="3" t="s">
        <v>66</v>
      </c>
      <c r="E469" s="49">
        <v>0</v>
      </c>
      <c r="F469" s="445">
        <v>0</v>
      </c>
      <c r="G469" s="49">
        <v>0</v>
      </c>
      <c r="H469" s="32">
        <f>IF(YEAR(Postup!$H$25)&gt;$D$424,Provozování!AO51,IF(AND(DAY(Postup!$H$25)=31,MONTH(Postup!$H$25)=12,YEAR(Postup!$H$25)=$D$424),Provozování!AO51,IF(YEAR(Postup!$H$25)=$D$424,Provozování!$BM51,0)))</f>
        <v>0</v>
      </c>
      <c r="K469" s="12" t="s">
        <v>72</v>
      </c>
      <c r="L469" s="13" t="s">
        <v>73</v>
      </c>
      <c r="M469" s="3" t="s">
        <v>66</v>
      </c>
      <c r="N469" s="49">
        <v>0</v>
      </c>
      <c r="O469" s="445">
        <v>0</v>
      </c>
      <c r="P469" s="49">
        <v>0</v>
      </c>
      <c r="Q469" s="32">
        <f>IF(Provozování!$AP$16="Neaktivní",0,Provozování!AQ51)</f>
        <v>0</v>
      </c>
      <c r="T469" s="12" t="s">
        <v>72</v>
      </c>
      <c r="U469" s="13" t="s">
        <v>73</v>
      </c>
      <c r="V469" s="3" t="s">
        <v>66</v>
      </c>
      <c r="W469" s="445">
        <v>0</v>
      </c>
      <c r="X469" s="445">
        <v>0</v>
      </c>
      <c r="Y469" s="445">
        <v>0</v>
      </c>
      <c r="Z469" s="595">
        <v>0</v>
      </c>
      <c r="AA469" s="49">
        <f>IF(Provozování!$AP$16="Neaktivní",H469,H469*Výpočty!$N$58+Q469)</f>
        <v>0</v>
      </c>
      <c r="AB469" s="32">
        <f t="shared" si="198"/>
        <v>0</v>
      </c>
      <c r="AC469" s="183"/>
      <c r="AD469" s="183"/>
      <c r="AE469" s="557" t="s">
        <v>413</v>
      </c>
      <c r="AF469" s="557"/>
      <c r="AG469" s="962"/>
      <c r="AH469" s="962"/>
      <c r="AI469" s="454">
        <f>IF(AG467&gt;0.05,0.05,AG467)</f>
        <v>0</v>
      </c>
      <c r="AJ469" s="454">
        <f ca="1">IF(AH467&gt;0.05,0.05,AH467)</f>
        <v>0</v>
      </c>
      <c r="AK469" s="183"/>
      <c r="AL469" s="183"/>
      <c r="AM469" s="183"/>
      <c r="AN469" s="183"/>
    </row>
    <row r="470" spans="2:40" x14ac:dyDescent="0.25">
      <c r="B470" s="12" t="s">
        <v>74</v>
      </c>
      <c r="C470" s="13" t="s">
        <v>75</v>
      </c>
      <c r="D470" s="3" t="s">
        <v>66</v>
      </c>
      <c r="E470" s="49">
        <v>0</v>
      </c>
      <c r="F470" s="445">
        <v>0</v>
      </c>
      <c r="G470" s="49">
        <v>0</v>
      </c>
      <c r="H470" s="32">
        <f>IF(YEAR(Postup!$H$25)&gt;$D$424,Provozování!AO52,IF(AND(DAY(Postup!$H$25)=31,MONTH(Postup!$H$25)=12,YEAR(Postup!$H$25)=$D$424),Provozování!AO52,IF(YEAR(Postup!$H$25)=$D$424,Provozování!$BM52,0)))</f>
        <v>0</v>
      </c>
      <c r="K470" s="12" t="s">
        <v>74</v>
      </c>
      <c r="L470" s="13" t="s">
        <v>75</v>
      </c>
      <c r="M470" s="3" t="s">
        <v>66</v>
      </c>
      <c r="N470" s="49">
        <v>0</v>
      </c>
      <c r="O470" s="445">
        <v>0</v>
      </c>
      <c r="P470" s="49">
        <v>0</v>
      </c>
      <c r="Q470" s="32">
        <f>IF(Provozování!$AP$16="Neaktivní",0,Provozování!AQ52)</f>
        <v>0</v>
      </c>
      <c r="T470" s="12" t="s">
        <v>74</v>
      </c>
      <c r="U470" s="13" t="s">
        <v>75</v>
      </c>
      <c r="V470" s="3" t="s">
        <v>66</v>
      </c>
      <c r="W470" s="445">
        <v>0</v>
      </c>
      <c r="X470" s="445">
        <v>0</v>
      </c>
      <c r="Y470" s="445">
        <v>0</v>
      </c>
      <c r="Z470" s="595">
        <v>0</v>
      </c>
      <c r="AA470" s="49">
        <f>IF(Provozování!$AP$16="Neaktivní",H470,H470*Výpočty!$N$58+Q470)</f>
        <v>0</v>
      </c>
      <c r="AB470" s="32">
        <f t="shared" si="198"/>
        <v>0</v>
      </c>
      <c r="AC470" s="183"/>
      <c r="AD470" s="183"/>
      <c r="AE470" s="534" t="s">
        <v>414</v>
      </c>
      <c r="AF470" s="534"/>
      <c r="AG470" s="360">
        <f>IF(AI470&gt;0,AG460*(AI470-0.05)*0.8,0)</f>
        <v>0</v>
      </c>
      <c r="AH470" s="360">
        <f ca="1">IF(AJ470&gt;0,AH460*(AJ470-0.05)*0.8,0)</f>
        <v>0</v>
      </c>
      <c r="AI470" s="454">
        <f>IF(AND(AG467&gt;0.05,AG467&lt;=0.1),AG467,IF(AG467&lt;=0.05,0,0.1))</f>
        <v>0</v>
      </c>
      <c r="AJ470" s="454">
        <f ca="1">IF(AND(AH467&gt;0.05,AH467&lt;=0.1),AH467,IF(AH467&lt;=0.05,0,0.1))</f>
        <v>0</v>
      </c>
      <c r="AK470" s="183"/>
      <c r="AL470" s="183"/>
      <c r="AM470" s="183"/>
      <c r="AN470" s="183"/>
    </row>
    <row r="471" spans="2:40" x14ac:dyDescent="0.25">
      <c r="B471" s="12" t="s">
        <v>76</v>
      </c>
      <c r="C471" s="13" t="s">
        <v>77</v>
      </c>
      <c r="D471" s="3" t="s">
        <v>66</v>
      </c>
      <c r="E471" s="49">
        <v>0</v>
      </c>
      <c r="F471" s="49">
        <f>IF(YEAR(Postup!$H$25)&gt;$D$424,Provozování!AN53,IF(AND(DAY(Postup!$H$25)=31,MONTH(Postup!$H$25)=12,YEAR(Postup!$H$25)=$D$424),Provozování!AN53,IF(YEAR(Postup!$H$25)=$D$424,Provozování!$BL53,0)))</f>
        <v>0</v>
      </c>
      <c r="G471" s="49">
        <v>0</v>
      </c>
      <c r="H471" s="32">
        <f>IF(YEAR(Postup!$H$25)&gt;$D$424,Provozování!AO53,IF(AND(DAY(Postup!$H$25)=31,MONTH(Postup!$H$25)=12,YEAR(Postup!$H$25)=$D$424),Provozování!AO53,IF(YEAR(Postup!$H$25)=$D$424,Provozování!$BM53,0)))</f>
        <v>0</v>
      </c>
      <c r="K471" s="12" t="s">
        <v>76</v>
      </c>
      <c r="L471" s="13" t="s">
        <v>77</v>
      </c>
      <c r="M471" s="3" t="s">
        <v>66</v>
      </c>
      <c r="N471" s="49">
        <v>0</v>
      </c>
      <c r="O471" s="49">
        <f>IF(Provozování!$AP$16="Neaktivní",0,Provozování!AP53)</f>
        <v>0</v>
      </c>
      <c r="P471" s="49">
        <v>0</v>
      </c>
      <c r="Q471" s="32">
        <f>IF(Provozování!$AP$16="Neaktivní",0,Provozování!AQ53)</f>
        <v>0</v>
      </c>
      <c r="T471" s="12" t="s">
        <v>76</v>
      </c>
      <c r="U471" s="13" t="s">
        <v>77</v>
      </c>
      <c r="V471" s="3" t="s">
        <v>66</v>
      </c>
      <c r="W471" s="595">
        <v>0</v>
      </c>
      <c r="X471" s="49">
        <f>IF(Provozování!$AP$16="Neaktivní",F471,F471*Výpočty!$N$58+O471)</f>
        <v>0</v>
      </c>
      <c r="Y471" s="49">
        <f>W471-X471</f>
        <v>0</v>
      </c>
      <c r="Z471" s="595">
        <v>0</v>
      </c>
      <c r="AA471" s="49">
        <f>IF(Provozování!$AP$16="Neaktivní",H471,H471*Výpočty!$N$58+Q471)</f>
        <v>0</v>
      </c>
      <c r="AB471" s="32">
        <f t="shared" si="198"/>
        <v>0</v>
      </c>
      <c r="AC471" s="183"/>
      <c r="AD471" s="183"/>
      <c r="AE471" s="534" t="s">
        <v>415</v>
      </c>
      <c r="AF471" s="534"/>
      <c r="AG471" s="360">
        <f>IF(AI471&gt;0,AG460*(AI471-0.1)*1,0)</f>
        <v>0</v>
      </c>
      <c r="AH471" s="360">
        <f ca="1">IF(AJ471&gt;0,AH460*(AJ471-0.1)*1,0)</f>
        <v>0</v>
      </c>
      <c r="AI471" s="454">
        <f>IF(AG467&gt;0.1,AG467,0)</f>
        <v>0</v>
      </c>
      <c r="AJ471" s="454">
        <f ca="1">IF(AH467&gt;0.1,AH467,0)</f>
        <v>0</v>
      </c>
      <c r="AK471" s="183"/>
      <c r="AL471" s="183"/>
      <c r="AM471" s="183"/>
      <c r="AN471" s="183"/>
    </row>
    <row r="472" spans="2:40" x14ac:dyDescent="0.25">
      <c r="B472" s="12" t="s">
        <v>78</v>
      </c>
      <c r="C472" s="13" t="s">
        <v>79</v>
      </c>
      <c r="D472" s="3" t="s">
        <v>66</v>
      </c>
      <c r="E472" s="49">
        <v>0</v>
      </c>
      <c r="F472" s="49">
        <f>IF(YEAR(Postup!$H$25)&gt;$D$424,Provozování!AN54,IF(AND(DAY(Postup!$H$25)=31,MONTH(Postup!$H$25)=12,YEAR(Postup!$H$25)=$D$424),Provozování!AN54,IF(YEAR(Postup!$H$25)=$D$424,Provozování!$BL54,0)))</f>
        <v>0</v>
      </c>
      <c r="G472" s="49">
        <v>0</v>
      </c>
      <c r="H472" s="32">
        <f>IF(YEAR(Postup!$H$25)&gt;$D$424,Provozování!AO54,IF(AND(DAY(Postup!$H$25)=31,MONTH(Postup!$H$25)=12,YEAR(Postup!$H$25)=$D$424),Provozování!AO54,IF(YEAR(Postup!$H$25)=$D$424,Provozování!$BM54,0)))</f>
        <v>0</v>
      </c>
      <c r="K472" s="12" t="s">
        <v>78</v>
      </c>
      <c r="L472" s="13" t="s">
        <v>79</v>
      </c>
      <c r="M472" s="3" t="s">
        <v>66</v>
      </c>
      <c r="N472" s="49">
        <v>0</v>
      </c>
      <c r="O472" s="49">
        <f>IF(Provozování!$AP$16="Neaktivní",0,Provozování!AP54)</f>
        <v>0</v>
      </c>
      <c r="P472" s="49">
        <v>0</v>
      </c>
      <c r="Q472" s="32">
        <f>IF(Provozování!$AP$16="Neaktivní",0,Provozování!AQ54)</f>
        <v>0</v>
      </c>
      <c r="T472" s="12" t="s">
        <v>78</v>
      </c>
      <c r="U472" s="13" t="s">
        <v>79</v>
      </c>
      <c r="V472" s="3" t="s">
        <v>66</v>
      </c>
      <c r="W472" s="595">
        <v>0</v>
      </c>
      <c r="X472" s="49">
        <f>IF(Provozování!$AP$16="Neaktivní",F472,F472*Výpočty!$N$58+O472)</f>
        <v>0</v>
      </c>
      <c r="Y472" s="49">
        <f>W472-X472</f>
        <v>0</v>
      </c>
      <c r="Z472" s="595">
        <v>0</v>
      </c>
      <c r="AA472" s="49">
        <f>IF(Provozování!$AP$16="Neaktivní",H472,H472*Výpočty!$N$58+Q472)</f>
        <v>0</v>
      </c>
      <c r="AB472" s="32">
        <f t="shared" si="198"/>
        <v>0</v>
      </c>
      <c r="AC472" s="183"/>
      <c r="AD472" s="183"/>
      <c r="AE472" s="532" t="s">
        <v>403</v>
      </c>
      <c r="AF472" s="532"/>
      <c r="AG472" s="455">
        <f>SUM(AG468:AG471)</f>
        <v>0</v>
      </c>
      <c r="AH472" s="455">
        <f ca="1">SUM(AH468:AH471)</f>
        <v>0</v>
      </c>
      <c r="AK472" s="183"/>
      <c r="AL472" s="183"/>
      <c r="AM472" s="183"/>
      <c r="AN472" s="183"/>
    </row>
    <row r="473" spans="2:40" x14ac:dyDescent="0.25">
      <c r="B473" s="1"/>
      <c r="C473" s="1"/>
      <c r="D473" s="1"/>
      <c r="E473" s="1"/>
      <c r="F473" s="456"/>
      <c r="G473" s="1"/>
      <c r="H473" s="456"/>
      <c r="K473" s="1"/>
      <c r="L473" s="1"/>
      <c r="M473" s="1"/>
      <c r="N473" s="1"/>
      <c r="O473" s="1"/>
      <c r="P473" s="1"/>
      <c r="Q473" s="1"/>
      <c r="T473" s="1"/>
      <c r="U473" s="1"/>
      <c r="V473" s="1"/>
      <c r="W473" s="1"/>
      <c r="X473" s="1"/>
      <c r="Y473" s="1"/>
      <c r="Z473" s="1"/>
      <c r="AA473" s="1"/>
      <c r="AB473" s="1"/>
      <c r="AC473" s="183"/>
      <c r="AD473" s="183"/>
      <c r="AE473" s="183"/>
      <c r="AF473" s="183"/>
      <c r="AG473" s="183"/>
      <c r="AH473" s="183"/>
      <c r="AI473" s="183"/>
      <c r="AJ473" s="183"/>
      <c r="AK473" s="183"/>
      <c r="AL473" s="183"/>
      <c r="AM473" s="183"/>
      <c r="AN473" s="183"/>
    </row>
    <row r="474" spans="2:40" x14ac:dyDescent="0.25">
      <c r="B474" s="932" t="s">
        <v>5</v>
      </c>
      <c r="C474" s="721" t="s">
        <v>80</v>
      </c>
      <c r="D474" s="722"/>
      <c r="E474" s="723"/>
      <c r="F474" s="724"/>
      <c r="G474" s="722"/>
      <c r="H474" s="725"/>
      <c r="K474" s="932" t="s">
        <v>5</v>
      </c>
      <c r="L474" s="721" t="s">
        <v>80</v>
      </c>
      <c r="M474" s="722"/>
      <c r="N474" s="723"/>
      <c r="O474" s="724"/>
      <c r="P474" s="722"/>
      <c r="Q474" s="725"/>
      <c r="T474" s="771" t="s">
        <v>5</v>
      </c>
      <c r="U474" s="721" t="s">
        <v>80</v>
      </c>
      <c r="V474" s="722"/>
      <c r="W474" s="723"/>
      <c r="X474" s="723"/>
      <c r="Y474" s="724"/>
      <c r="Z474" s="722"/>
      <c r="AA474" s="722"/>
      <c r="AB474" s="725"/>
      <c r="AC474" s="183"/>
      <c r="AD474" s="183"/>
      <c r="AE474" s="183"/>
      <c r="AF474" s="183"/>
      <c r="AG474" s="183"/>
      <c r="AH474" s="183"/>
      <c r="AI474" s="183"/>
      <c r="AJ474" s="183"/>
      <c r="AK474" s="183"/>
      <c r="AL474" s="183"/>
      <c r="AM474" s="183"/>
      <c r="AN474" s="183"/>
    </row>
    <row r="475" spans="2:40" x14ac:dyDescent="0.25">
      <c r="B475" s="930"/>
      <c r="C475" s="932" t="s">
        <v>81</v>
      </c>
      <c r="D475" s="929" t="s">
        <v>173</v>
      </c>
      <c r="E475" s="874" t="s">
        <v>118</v>
      </c>
      <c r="F475" s="937"/>
      <c r="G475" s="26" t="s">
        <v>3</v>
      </c>
      <c r="H475" s="23" t="s">
        <v>4</v>
      </c>
      <c r="K475" s="930"/>
      <c r="L475" s="5" t="s">
        <v>81</v>
      </c>
      <c r="M475" s="929" t="s">
        <v>173</v>
      </c>
      <c r="N475" s="874" t="s">
        <v>118</v>
      </c>
      <c r="O475" s="937"/>
      <c r="P475" s="26" t="s">
        <v>3</v>
      </c>
      <c r="Q475" s="23" t="s">
        <v>4</v>
      </c>
      <c r="T475" s="934"/>
      <c r="U475" s="932" t="s">
        <v>81</v>
      </c>
      <c r="V475" s="929" t="s">
        <v>173</v>
      </c>
      <c r="W475" s="874" t="s">
        <v>118</v>
      </c>
      <c r="X475" s="937"/>
      <c r="Y475" s="874" t="s">
        <v>3</v>
      </c>
      <c r="Z475" s="939"/>
      <c r="AA475" s="940" t="s">
        <v>4</v>
      </c>
      <c r="AB475" s="940"/>
      <c r="AC475" s="183"/>
      <c r="AD475" s="183"/>
      <c r="AE475" s="183"/>
      <c r="AF475" s="183"/>
      <c r="AG475" s="183"/>
      <c r="AH475" s="183"/>
      <c r="AI475" s="183"/>
      <c r="AJ475" s="183"/>
      <c r="AK475" s="183"/>
      <c r="AL475" s="183"/>
      <c r="AM475" s="183"/>
      <c r="AN475" s="183"/>
    </row>
    <row r="476" spans="2:40" x14ac:dyDescent="0.25">
      <c r="B476" s="931"/>
      <c r="C476" s="931"/>
      <c r="D476" s="936"/>
      <c r="E476" s="875"/>
      <c r="F476" s="938"/>
      <c r="G476" s="27" t="s">
        <v>7</v>
      </c>
      <c r="H476" s="24" t="s">
        <v>7</v>
      </c>
      <c r="K476" s="931"/>
      <c r="L476" s="8"/>
      <c r="M476" s="936"/>
      <c r="N476" s="875"/>
      <c r="O476" s="938"/>
      <c r="P476" s="27" t="s">
        <v>7</v>
      </c>
      <c r="Q476" s="24" t="s">
        <v>7</v>
      </c>
      <c r="T476" s="935"/>
      <c r="U476" s="931"/>
      <c r="V476" s="936"/>
      <c r="W476" s="875"/>
      <c r="X476" s="938"/>
      <c r="Y476" s="40" t="s">
        <v>196</v>
      </c>
      <c r="Z476" s="40" t="s">
        <v>7</v>
      </c>
      <c r="AA476" s="40" t="s">
        <v>196</v>
      </c>
      <c r="AB476" s="40" t="s">
        <v>7</v>
      </c>
      <c r="AC476" s="183"/>
      <c r="AD476" s="183"/>
      <c r="AE476" s="183"/>
      <c r="AF476" s="183"/>
      <c r="AG476" s="183"/>
      <c r="AH476" s="183"/>
      <c r="AI476" s="183"/>
      <c r="AJ476" s="183"/>
      <c r="AK476" s="183"/>
      <c r="AL476" s="183"/>
      <c r="AM476" s="183"/>
      <c r="AN476" s="183"/>
    </row>
    <row r="477" spans="2:40" x14ac:dyDescent="0.25">
      <c r="B477" s="11">
        <v>1</v>
      </c>
      <c r="C477" s="11">
        <v>2</v>
      </c>
      <c r="D477" s="11" t="s">
        <v>111</v>
      </c>
      <c r="E477" s="735" t="s">
        <v>115</v>
      </c>
      <c r="F477" s="736"/>
      <c r="G477" s="11" t="s">
        <v>116</v>
      </c>
      <c r="H477" s="22" t="s">
        <v>117</v>
      </c>
      <c r="K477" s="11">
        <v>1</v>
      </c>
      <c r="L477" s="11">
        <v>2</v>
      </c>
      <c r="M477" s="11" t="s">
        <v>111</v>
      </c>
      <c r="N477" s="735" t="s">
        <v>115</v>
      </c>
      <c r="O477" s="736"/>
      <c r="P477" s="11" t="s">
        <v>116</v>
      </c>
      <c r="Q477" s="22" t="s">
        <v>117</v>
      </c>
      <c r="T477" s="11">
        <v>1</v>
      </c>
      <c r="U477" s="11">
        <v>2</v>
      </c>
      <c r="V477" s="11" t="s">
        <v>111</v>
      </c>
      <c r="W477" s="944" t="s">
        <v>115</v>
      </c>
      <c r="X477" s="945"/>
      <c r="Y477" s="11" t="s">
        <v>201</v>
      </c>
      <c r="Z477" s="11" t="s">
        <v>116</v>
      </c>
      <c r="AA477" s="11" t="s">
        <v>200</v>
      </c>
      <c r="AB477" s="22" t="s">
        <v>117</v>
      </c>
      <c r="AC477" s="183"/>
      <c r="AD477" s="183"/>
      <c r="AE477" s="183"/>
      <c r="AF477" s="183"/>
      <c r="AG477" s="183"/>
      <c r="AH477" s="183"/>
      <c r="AI477" s="183"/>
      <c r="AJ477" s="183"/>
      <c r="AK477" s="183"/>
      <c r="AL477" s="183"/>
      <c r="AM477" s="183"/>
      <c r="AN477" s="183"/>
    </row>
    <row r="478" spans="2:40" x14ac:dyDescent="0.25">
      <c r="B478" s="12" t="s">
        <v>82</v>
      </c>
      <c r="C478" s="13" t="s">
        <v>127</v>
      </c>
      <c r="D478" s="13" t="s">
        <v>83</v>
      </c>
      <c r="E478" s="732" t="s">
        <v>120</v>
      </c>
      <c r="F478" s="733"/>
      <c r="G478" s="171">
        <f>IF(G484=0,0,G479/G484)</f>
        <v>0</v>
      </c>
      <c r="H478" s="172">
        <f>IF(H484=0,0,H479/H484)</f>
        <v>0</v>
      </c>
      <c r="K478" s="12" t="s">
        <v>82</v>
      </c>
      <c r="L478" s="13" t="s">
        <v>127</v>
      </c>
      <c r="M478" s="13" t="s">
        <v>83</v>
      </c>
      <c r="N478" s="732" t="s">
        <v>120</v>
      </c>
      <c r="O478" s="733"/>
      <c r="P478" s="171">
        <f>IF(P484=0,0,P479/P484)</f>
        <v>0</v>
      </c>
      <c r="Q478" s="172">
        <f>IF(Q484=0,0,Q479/Q484)</f>
        <v>0</v>
      </c>
      <c r="T478" s="12" t="s">
        <v>82</v>
      </c>
      <c r="U478" s="13" t="s">
        <v>127</v>
      </c>
      <c r="V478" s="13" t="s">
        <v>83</v>
      </c>
      <c r="W478" s="13" t="s">
        <v>120</v>
      </c>
      <c r="X478" s="101"/>
      <c r="Y478" s="171">
        <f t="shared" ref="Y478:AB478" si="199">IF(Y484=0,0,Y479/Y484)</f>
        <v>0</v>
      </c>
      <c r="Z478" s="171">
        <f t="shared" si="199"/>
        <v>0</v>
      </c>
      <c r="AA478" s="171">
        <f t="shared" si="199"/>
        <v>0</v>
      </c>
      <c r="AB478" s="172">
        <f t="shared" si="199"/>
        <v>0</v>
      </c>
      <c r="AC478" s="183"/>
      <c r="AD478" s="183"/>
      <c r="AE478" s="183"/>
      <c r="AF478" s="183"/>
      <c r="AG478" s="183"/>
      <c r="AH478" s="183"/>
      <c r="AI478" s="183"/>
      <c r="AJ478" s="183"/>
      <c r="AK478" s="183"/>
      <c r="AL478" s="183"/>
      <c r="AM478" s="183"/>
      <c r="AN478" s="183"/>
    </row>
    <row r="479" spans="2:40" x14ac:dyDescent="0.25">
      <c r="B479" s="12" t="s">
        <v>84</v>
      </c>
      <c r="C479" s="13" t="s">
        <v>85</v>
      </c>
      <c r="D479" s="13" t="s">
        <v>10</v>
      </c>
      <c r="E479" s="732" t="s">
        <v>121</v>
      </c>
      <c r="F479" s="733"/>
      <c r="G479" s="448">
        <f>F461</f>
        <v>0</v>
      </c>
      <c r="H479" s="449">
        <f>H461</f>
        <v>0</v>
      </c>
      <c r="K479" s="12" t="s">
        <v>84</v>
      </c>
      <c r="L479" s="13" t="s">
        <v>85</v>
      </c>
      <c r="M479" s="13" t="s">
        <v>10</v>
      </c>
      <c r="N479" s="732" t="s">
        <v>121</v>
      </c>
      <c r="O479" s="733"/>
      <c r="P479" s="448">
        <f>O461</f>
        <v>0</v>
      </c>
      <c r="Q479" s="449">
        <f>Q461</f>
        <v>0</v>
      </c>
      <c r="T479" s="12" t="s">
        <v>84</v>
      </c>
      <c r="U479" s="13" t="s">
        <v>85</v>
      </c>
      <c r="V479" s="13" t="s">
        <v>10</v>
      </c>
      <c r="W479" s="13" t="s">
        <v>121</v>
      </c>
      <c r="X479" s="101"/>
      <c r="Y479" s="14">
        <f>W461</f>
        <v>0</v>
      </c>
      <c r="Z479" s="14">
        <f>X461</f>
        <v>0</v>
      </c>
      <c r="AA479" s="14">
        <f>Z461</f>
        <v>0</v>
      </c>
      <c r="AB479" s="15">
        <f>AA461</f>
        <v>0</v>
      </c>
      <c r="AC479" s="183"/>
      <c r="AD479" s="183"/>
      <c r="AE479" s="183"/>
      <c r="AF479" s="183"/>
      <c r="AG479" s="183"/>
      <c r="AH479" s="183"/>
      <c r="AI479" s="183"/>
      <c r="AJ479" s="183"/>
      <c r="AK479" s="183"/>
      <c r="AL479" s="183"/>
      <c r="AM479" s="183"/>
      <c r="AN479" s="183"/>
    </row>
    <row r="480" spans="2:40" x14ac:dyDescent="0.25">
      <c r="B480" s="12" t="s">
        <v>86</v>
      </c>
      <c r="C480" s="13" t="s">
        <v>87</v>
      </c>
      <c r="D480" s="13" t="s">
        <v>10</v>
      </c>
      <c r="E480" s="732"/>
      <c r="F480" s="733"/>
      <c r="G480" s="448">
        <f>IF(YEAR(Postup!$H$25)&gt;$D424,Provozování!AN$85,IF(AND(DAY(Postup!$H$25)=31,MONTH(Postup!$H$25)=12,YEAR(Postup!$H$25)=$D424),Provozování!AN$85,IF(YEAR(Postup!$H$25)=$D424,Provozování!$BL$85,0)))</f>
        <v>0</v>
      </c>
      <c r="H480" s="449">
        <f>IF(YEAR(Postup!$H$25)&gt;$D424,Provozování!AO$85,IF(AND(DAY(Postup!$H$25)=31,MONTH(Postup!$H$25)=12,YEAR(Postup!$H$25)=$D424),Provozování!AO$85,IF(YEAR(Postup!$H$25)=$D424,Provozování!$BM$85,0)))</f>
        <v>0</v>
      </c>
      <c r="K480" s="12" t="s">
        <v>86</v>
      </c>
      <c r="L480" s="13" t="s">
        <v>87</v>
      </c>
      <c r="M480" s="13" t="s">
        <v>10</v>
      </c>
      <c r="N480" s="732"/>
      <c r="O480" s="733"/>
      <c r="P480" s="448">
        <f>IF(Provozování!$AP$16="Neaktivní",0,Provozování!AP$85)</f>
        <v>0</v>
      </c>
      <c r="Q480" s="449">
        <f>IF(Provozování!AP$16="Neaktivní",0,Provozování!AQ$85)</f>
        <v>0</v>
      </c>
      <c r="T480" s="12" t="s">
        <v>86</v>
      </c>
      <c r="U480" s="13" t="s">
        <v>87</v>
      </c>
      <c r="V480" s="13" t="s">
        <v>10</v>
      </c>
      <c r="W480" s="13"/>
      <c r="X480" s="101"/>
      <c r="Y480" s="595">
        <v>0</v>
      </c>
      <c r="Z480" s="14">
        <f>IF(Provozování!$AP$16="Neaktivní",G480,G480*Výpočty!$N$58+P480)</f>
        <v>0</v>
      </c>
      <c r="AA480" s="595">
        <v>0</v>
      </c>
      <c r="AB480" s="15">
        <f>IF(Provozování!$AP$16="Neaktivní",H480,H480*Výpočty!$N$58+Q480)</f>
        <v>0</v>
      </c>
      <c r="AC480" s="183"/>
      <c r="AD480" s="183"/>
      <c r="AE480" s="183"/>
      <c r="AF480" s="183"/>
      <c r="AG480" s="183"/>
      <c r="AH480" s="183"/>
      <c r="AI480" s="183"/>
      <c r="AJ480" s="183"/>
      <c r="AK480" s="183"/>
      <c r="AL480" s="183"/>
      <c r="AM480" s="183"/>
      <c r="AN480" s="183"/>
    </row>
    <row r="481" spans="1:40" x14ac:dyDescent="0.25">
      <c r="B481" s="12" t="s">
        <v>88</v>
      </c>
      <c r="C481" s="21" t="s">
        <v>89</v>
      </c>
      <c r="D481" s="13" t="s">
        <v>90</v>
      </c>
      <c r="E481" s="732" t="s">
        <v>123</v>
      </c>
      <c r="F481" s="733"/>
      <c r="G481" s="171">
        <f>IF(G479=0,0,G480/G479*100)</f>
        <v>0</v>
      </c>
      <c r="H481" s="172">
        <f>IF(H479=0,0,H480/H479*100)</f>
        <v>0</v>
      </c>
      <c r="K481" s="12" t="s">
        <v>88</v>
      </c>
      <c r="L481" s="21" t="s">
        <v>89</v>
      </c>
      <c r="M481" s="13" t="s">
        <v>90</v>
      </c>
      <c r="N481" s="732" t="s">
        <v>123</v>
      </c>
      <c r="O481" s="733"/>
      <c r="P481" s="171">
        <f>IF(P479=0,0,P480/P479*100)</f>
        <v>0</v>
      </c>
      <c r="Q481" s="172">
        <f>IF(Q479=0,0,Q480/Q479*100)</f>
        <v>0</v>
      </c>
      <c r="T481" s="12" t="s">
        <v>88</v>
      </c>
      <c r="U481" s="21" t="s">
        <v>89</v>
      </c>
      <c r="V481" s="13" t="s">
        <v>90</v>
      </c>
      <c r="W481" s="13" t="s">
        <v>123</v>
      </c>
      <c r="X481" s="101"/>
      <c r="Y481" s="171">
        <f t="shared" ref="Y481:AB481" si="200">IF(Y479=0,0,Y480/Y479*100)</f>
        <v>0</v>
      </c>
      <c r="Z481" s="171">
        <f t="shared" si="200"/>
        <v>0</v>
      </c>
      <c r="AA481" s="171">
        <f t="shared" si="200"/>
        <v>0</v>
      </c>
      <c r="AB481" s="172">
        <f t="shared" si="200"/>
        <v>0</v>
      </c>
      <c r="AC481" s="183"/>
      <c r="AD481" s="183"/>
      <c r="AE481" s="183"/>
      <c r="AF481" s="183"/>
      <c r="AG481" s="183"/>
      <c r="AH481" s="183"/>
      <c r="AI481" s="183"/>
      <c r="AJ481" s="183"/>
      <c r="AK481" s="183"/>
      <c r="AL481" s="183"/>
      <c r="AM481" s="183"/>
      <c r="AN481" s="183"/>
    </row>
    <row r="482" spans="1:40" x14ac:dyDescent="0.25">
      <c r="B482" s="12" t="s">
        <v>91</v>
      </c>
      <c r="C482" s="21" t="s">
        <v>92</v>
      </c>
      <c r="D482" s="13" t="s">
        <v>10</v>
      </c>
      <c r="E482" s="732"/>
      <c r="F482" s="733"/>
      <c r="G482" s="411">
        <v>0</v>
      </c>
      <c r="H482" s="136">
        <v>0</v>
      </c>
      <c r="K482" s="12" t="s">
        <v>91</v>
      </c>
      <c r="L482" s="21" t="s">
        <v>92</v>
      </c>
      <c r="M482" s="13" t="s">
        <v>10</v>
      </c>
      <c r="N482" s="732"/>
      <c r="O482" s="733"/>
      <c r="P482" s="411">
        <v>0</v>
      </c>
      <c r="Q482" s="136">
        <v>0</v>
      </c>
      <c r="T482" s="12" t="s">
        <v>91</v>
      </c>
      <c r="U482" s="21" t="s">
        <v>92</v>
      </c>
      <c r="V482" s="13" t="s">
        <v>10</v>
      </c>
      <c r="W482" s="13"/>
      <c r="X482" s="101"/>
      <c r="Y482" s="445">
        <v>0</v>
      </c>
      <c r="Z482" s="445">
        <v>0</v>
      </c>
      <c r="AA482" s="445">
        <v>0</v>
      </c>
      <c r="AB482" s="442">
        <v>0</v>
      </c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</row>
    <row r="483" spans="1:40" x14ac:dyDescent="0.25">
      <c r="B483" s="12" t="s">
        <v>93</v>
      </c>
      <c r="C483" s="13" t="s">
        <v>94</v>
      </c>
      <c r="D483" s="13" t="s">
        <v>10</v>
      </c>
      <c r="E483" s="732" t="s">
        <v>122</v>
      </c>
      <c r="F483" s="733"/>
      <c r="G483" s="448">
        <f>G479+G480</f>
        <v>0</v>
      </c>
      <c r="H483" s="449">
        <f>H479+H480</f>
        <v>0</v>
      </c>
      <c r="K483" s="12" t="s">
        <v>93</v>
      </c>
      <c r="L483" s="13" t="s">
        <v>94</v>
      </c>
      <c r="M483" s="13" t="s">
        <v>10</v>
      </c>
      <c r="N483" s="732" t="s">
        <v>122</v>
      </c>
      <c r="O483" s="733"/>
      <c r="P483" s="448">
        <f>P479+P480</f>
        <v>0</v>
      </c>
      <c r="Q483" s="449">
        <f>Q479+Q480</f>
        <v>0</v>
      </c>
      <c r="T483" s="12" t="s">
        <v>93</v>
      </c>
      <c r="U483" s="13" t="s">
        <v>94</v>
      </c>
      <c r="V483" s="13" t="s">
        <v>10</v>
      </c>
      <c r="W483" s="13" t="s">
        <v>122</v>
      </c>
      <c r="X483" s="101"/>
      <c r="Y483" s="448">
        <f t="shared" ref="Y483:AB483" si="201">Y479+Y480</f>
        <v>0</v>
      </c>
      <c r="Z483" s="448">
        <f t="shared" si="201"/>
        <v>0</v>
      </c>
      <c r="AA483" s="448">
        <f t="shared" si="201"/>
        <v>0</v>
      </c>
      <c r="AB483" s="449">
        <f t="shared" si="201"/>
        <v>0</v>
      </c>
      <c r="AC483" s="183"/>
      <c r="AD483" s="183"/>
      <c r="AE483" s="183"/>
      <c r="AF483" s="183"/>
      <c r="AG483" s="183"/>
      <c r="AH483" s="183"/>
      <c r="AI483" s="183"/>
      <c r="AJ483" s="183"/>
      <c r="AK483" s="183"/>
      <c r="AL483" s="183"/>
      <c r="AM483" s="183"/>
      <c r="AN483" s="183"/>
    </row>
    <row r="484" spans="1:40" x14ac:dyDescent="0.25">
      <c r="B484" s="12" t="s">
        <v>95</v>
      </c>
      <c r="C484" s="13" t="s">
        <v>96</v>
      </c>
      <c r="D484" s="13" t="s">
        <v>66</v>
      </c>
      <c r="E484" s="732" t="s">
        <v>124</v>
      </c>
      <c r="F484" s="733"/>
      <c r="G484" s="448">
        <f>F465</f>
        <v>0</v>
      </c>
      <c r="H484" s="449">
        <f>H467+H469</f>
        <v>0</v>
      </c>
      <c r="K484" s="12" t="s">
        <v>95</v>
      </c>
      <c r="L484" s="13" t="s">
        <v>96</v>
      </c>
      <c r="M484" s="13" t="s">
        <v>66</v>
      </c>
      <c r="N484" s="732" t="s">
        <v>124</v>
      </c>
      <c r="O484" s="733"/>
      <c r="P484" s="448">
        <f>O465</f>
        <v>0</v>
      </c>
      <c r="Q484" s="449">
        <f>Q467+Q469</f>
        <v>0</v>
      </c>
      <c r="T484" s="12" t="s">
        <v>95</v>
      </c>
      <c r="U484" s="13" t="s">
        <v>96</v>
      </c>
      <c r="V484" s="13" t="s">
        <v>66</v>
      </c>
      <c r="W484" s="13" t="s">
        <v>124</v>
      </c>
      <c r="X484" s="101"/>
      <c r="Y484" s="14">
        <f>W465</f>
        <v>0</v>
      </c>
      <c r="Z484" s="14">
        <f>X465</f>
        <v>0</v>
      </c>
      <c r="AA484" s="14">
        <f>Z467+Z469</f>
        <v>0</v>
      </c>
      <c r="AB484" s="15">
        <f>AA467+AA469</f>
        <v>0</v>
      </c>
      <c r="AC484" s="183"/>
      <c r="AD484" s="183"/>
      <c r="AE484" s="183"/>
      <c r="AF484" s="183"/>
      <c r="AG484" s="183"/>
      <c r="AH484" s="183"/>
      <c r="AI484" s="183"/>
      <c r="AJ484" s="183"/>
      <c r="AK484" s="183"/>
      <c r="AL484" s="183"/>
      <c r="AM484" s="183"/>
      <c r="AN484" s="183"/>
    </row>
    <row r="485" spans="1:40" x14ac:dyDescent="0.25">
      <c r="B485" s="12" t="s">
        <v>97</v>
      </c>
      <c r="C485" s="13" t="s">
        <v>98</v>
      </c>
      <c r="D485" s="13" t="s">
        <v>83</v>
      </c>
      <c r="E485" s="732" t="s">
        <v>125</v>
      </c>
      <c r="F485" s="733"/>
      <c r="G485" s="171">
        <f>IF(G484=0,0,G483/G484)</f>
        <v>0</v>
      </c>
      <c r="H485" s="172">
        <f>IF(H484=0,0,H483/H484)</f>
        <v>0</v>
      </c>
      <c r="K485" s="12" t="s">
        <v>97</v>
      </c>
      <c r="L485" s="13" t="s">
        <v>98</v>
      </c>
      <c r="M485" s="13" t="s">
        <v>83</v>
      </c>
      <c r="N485" s="732" t="s">
        <v>125</v>
      </c>
      <c r="O485" s="733"/>
      <c r="P485" s="171">
        <f>IF(P484=0,0,P483/P484)</f>
        <v>0</v>
      </c>
      <c r="Q485" s="172">
        <f>IF(Q484=0,0,Q483/Q484)</f>
        <v>0</v>
      </c>
      <c r="T485" s="12" t="s">
        <v>97</v>
      </c>
      <c r="U485" s="13" t="s">
        <v>98</v>
      </c>
      <c r="V485" s="13" t="s">
        <v>83</v>
      </c>
      <c r="W485" s="13" t="s">
        <v>125</v>
      </c>
      <c r="X485" s="101"/>
      <c r="Y485" s="171">
        <f t="shared" ref="Y485:AB485" si="202">IF(Y484=0,0,Y483/Y484)</f>
        <v>0</v>
      </c>
      <c r="Z485" s="171">
        <f t="shared" si="202"/>
        <v>0</v>
      </c>
      <c r="AA485" s="171">
        <f t="shared" si="202"/>
        <v>0</v>
      </c>
      <c r="AB485" s="172">
        <f t="shared" si="202"/>
        <v>0</v>
      </c>
      <c r="AC485" s="183"/>
      <c r="AD485" s="183"/>
      <c r="AE485" s="183"/>
      <c r="AF485" s="183"/>
      <c r="AG485" s="183"/>
      <c r="AH485" s="183"/>
      <c r="AI485" s="183"/>
      <c r="AJ485" s="183"/>
      <c r="AK485" s="183"/>
      <c r="AL485" s="183"/>
      <c r="AM485" s="183"/>
      <c r="AN485" s="183"/>
    </row>
    <row r="486" spans="1:40" x14ac:dyDescent="0.25">
      <c r="B486" s="12" t="s">
        <v>99</v>
      </c>
      <c r="C486" s="13" t="str">
        <f>CONCATENATE("CENA pro vodné, stočné + ",Provozování!AN$93*100,"% DPH")</f>
        <v>CENA pro vodné, stočné + 15% DPH</v>
      </c>
      <c r="D486" s="13" t="s">
        <v>83</v>
      </c>
      <c r="E486" s="732" t="s">
        <v>126</v>
      </c>
      <c r="F486" s="733"/>
      <c r="G486" s="171">
        <f>G485*(1+Provozování!AN$93)</f>
        <v>0</v>
      </c>
      <c r="H486" s="172">
        <f>H485*(1+Provozování!AO$93)</f>
        <v>0</v>
      </c>
      <c r="K486" s="12" t="s">
        <v>99</v>
      </c>
      <c r="L486" s="13" t="str">
        <f>C486</f>
        <v>CENA pro vodné, stočné + 15% DPH</v>
      </c>
      <c r="M486" s="13" t="s">
        <v>83</v>
      </c>
      <c r="N486" s="732" t="s">
        <v>126</v>
      </c>
      <c r="O486" s="733"/>
      <c r="P486" s="171">
        <f>P485*(1+Provozování!AN$93)</f>
        <v>0</v>
      </c>
      <c r="Q486" s="172">
        <f>Q485*(1+Provozování!AO$93)</f>
        <v>0</v>
      </c>
      <c r="T486" s="12" t="s">
        <v>99</v>
      </c>
      <c r="U486" s="13" t="str">
        <f>C486</f>
        <v>CENA pro vodné, stočné + 15% DPH</v>
      </c>
      <c r="V486" s="13" t="s">
        <v>83</v>
      </c>
      <c r="W486" s="13" t="s">
        <v>126</v>
      </c>
      <c r="X486" s="101"/>
      <c r="Y486" s="171">
        <f>Y485*(1+Provozování!AN$93)</f>
        <v>0</v>
      </c>
      <c r="Z486" s="171">
        <f>Z485*(1+Provozování!AN$93)</f>
        <v>0</v>
      </c>
      <c r="AA486" s="171">
        <f>AA485*(1+Provozování!AO$93)</f>
        <v>0</v>
      </c>
      <c r="AB486" s="172">
        <f>AB485*(1+Provozování!AO$93)</f>
        <v>0</v>
      </c>
      <c r="AC486" s="183"/>
      <c r="AD486" s="183"/>
      <c r="AE486" s="183"/>
      <c r="AF486" s="183"/>
      <c r="AG486" s="183"/>
      <c r="AH486" s="183"/>
      <c r="AI486" s="183"/>
      <c r="AJ486" s="183"/>
      <c r="AK486" s="183"/>
      <c r="AL486" s="183"/>
      <c r="AM486" s="183"/>
      <c r="AN486" s="183"/>
    </row>
    <row r="487" spans="1:40" x14ac:dyDescent="0.25">
      <c r="T487" s="916" t="s">
        <v>203</v>
      </c>
      <c r="U487" s="916" t="s">
        <v>202</v>
      </c>
      <c r="V487" s="744" t="s">
        <v>10</v>
      </c>
      <c r="W487" s="919" t="s">
        <v>204</v>
      </c>
      <c r="X487" s="732"/>
      <c r="Y487" s="102" t="s">
        <v>206</v>
      </c>
      <c r="Z487" s="105" t="s">
        <v>207</v>
      </c>
      <c r="AA487" s="102" t="s">
        <v>206</v>
      </c>
      <c r="AB487" s="105" t="s">
        <v>207</v>
      </c>
      <c r="AC487" s="183"/>
      <c r="AD487" s="183"/>
      <c r="AE487" s="183"/>
      <c r="AF487" s="183"/>
      <c r="AG487" s="183"/>
      <c r="AH487" s="183"/>
      <c r="AI487" s="183"/>
      <c r="AJ487" s="183"/>
      <c r="AK487" s="183"/>
      <c r="AL487" s="183"/>
      <c r="AM487" s="183"/>
      <c r="AN487" s="183"/>
    </row>
    <row r="488" spans="1:40" x14ac:dyDescent="0.25">
      <c r="B488" s="500" t="s">
        <v>354</v>
      </c>
      <c r="T488" s="917"/>
      <c r="U488" s="917"/>
      <c r="V488" s="745"/>
      <c r="W488" s="920">
        <v>0</v>
      </c>
      <c r="X488" s="921"/>
      <c r="Y488" s="103">
        <f>W424</f>
        <v>2026</v>
      </c>
      <c r="Z488" s="103">
        <f>W424</f>
        <v>2026</v>
      </c>
      <c r="AA488" s="103">
        <f>W424</f>
        <v>2026</v>
      </c>
      <c r="AB488" s="103">
        <f>W424</f>
        <v>2026</v>
      </c>
      <c r="AC488" s="183"/>
      <c r="AD488" s="183"/>
      <c r="AE488" s="183"/>
      <c r="AF488" s="183"/>
      <c r="AG488" s="183"/>
      <c r="AH488" s="183"/>
      <c r="AI488" s="183"/>
      <c r="AJ488" s="183"/>
      <c r="AK488" s="183"/>
      <c r="AL488" s="183"/>
      <c r="AM488" s="183"/>
      <c r="AN488" s="183"/>
    </row>
    <row r="489" spans="1:40" x14ac:dyDescent="0.25">
      <c r="B489" s="500" t="s">
        <v>355</v>
      </c>
      <c r="T489" s="917"/>
      <c r="U489" s="917"/>
      <c r="V489" s="745"/>
      <c r="W489" s="919" t="s">
        <v>205</v>
      </c>
      <c r="X489" s="732"/>
      <c r="Y489" s="104" t="s">
        <v>208</v>
      </c>
      <c r="Z489" s="104" t="s">
        <v>208</v>
      </c>
      <c r="AA489" s="104" t="s">
        <v>209</v>
      </c>
      <c r="AB489" s="104" t="s">
        <v>209</v>
      </c>
      <c r="AC489" s="183"/>
      <c r="AD489" s="183"/>
      <c r="AE489" s="183"/>
      <c r="AF489" s="183"/>
      <c r="AG489" s="183"/>
      <c r="AH489" s="183"/>
      <c r="AI489" s="183"/>
      <c r="AJ489" s="183"/>
      <c r="AK489" s="183"/>
      <c r="AL489" s="183"/>
      <c r="AM489" s="183"/>
      <c r="AN489" s="183"/>
    </row>
    <row r="490" spans="1:40" x14ac:dyDescent="0.25">
      <c r="T490" s="918"/>
      <c r="U490" s="918"/>
      <c r="V490" s="746"/>
      <c r="W490" s="922">
        <v>0</v>
      </c>
      <c r="X490" s="920"/>
      <c r="Y490" s="597">
        <v>0</v>
      </c>
      <c r="Z490" s="597">
        <v>0</v>
      </c>
      <c r="AA490" s="597">
        <v>0</v>
      </c>
      <c r="AB490" s="597">
        <v>0</v>
      </c>
      <c r="AC490" s="183"/>
      <c r="AD490" s="183"/>
      <c r="AE490" s="183"/>
      <c r="AF490" s="183"/>
      <c r="AG490" s="183"/>
      <c r="AH490" s="183"/>
      <c r="AI490" s="183"/>
      <c r="AJ490" s="183"/>
      <c r="AK490" s="183"/>
      <c r="AL490" s="183"/>
      <c r="AM490" s="183"/>
      <c r="AN490" s="183"/>
    </row>
    <row r="491" spans="1:40" x14ac:dyDescent="0.25">
      <c r="A491" s="342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AC491" s="183"/>
      <c r="AD491" s="183"/>
      <c r="AE491" s="183"/>
      <c r="AF491" s="183"/>
      <c r="AG491" s="183"/>
      <c r="AH491" s="183"/>
      <c r="AI491" s="183"/>
      <c r="AJ491" s="183"/>
      <c r="AK491" s="183"/>
      <c r="AL491" s="183"/>
      <c r="AM491" s="183"/>
      <c r="AN491" s="183"/>
    </row>
    <row r="492" spans="1:40" x14ac:dyDescent="0.25">
      <c r="B492" s="726" t="s">
        <v>393</v>
      </c>
      <c r="C492" s="727"/>
      <c r="D492" s="727"/>
      <c r="E492" s="727"/>
      <c r="F492" s="727"/>
      <c r="G492" s="727"/>
      <c r="H492" s="727"/>
      <c r="K492" s="726" t="s">
        <v>394</v>
      </c>
      <c r="L492" s="727"/>
      <c r="M492" s="727"/>
      <c r="N492" s="727"/>
      <c r="O492" s="727"/>
      <c r="P492" s="727"/>
      <c r="Q492" s="727"/>
      <c r="T492" s="726" t="s">
        <v>210</v>
      </c>
      <c r="U492" s="727"/>
      <c r="V492" s="727"/>
      <c r="W492" s="727"/>
      <c r="X492" s="727"/>
      <c r="Y492" s="727"/>
      <c r="Z492" s="727"/>
      <c r="AA492" s="727"/>
      <c r="AB492" s="727"/>
      <c r="AC492" s="183"/>
      <c r="AD492" s="183"/>
      <c r="AE492" s="183"/>
      <c r="AF492" s="183"/>
      <c r="AG492" s="183"/>
      <c r="AH492" s="183"/>
      <c r="AI492" s="183"/>
      <c r="AJ492" s="183"/>
      <c r="AK492" s="183"/>
      <c r="AL492" s="183"/>
      <c r="AM492" s="183"/>
      <c r="AN492" s="183"/>
    </row>
    <row r="493" spans="1:40" x14ac:dyDescent="0.25">
      <c r="C493" s="362"/>
      <c r="E493" s="25"/>
      <c r="F493" s="25"/>
      <c r="L493" s="25"/>
      <c r="N493" s="25"/>
      <c r="T493" s="950" t="s">
        <v>395</v>
      </c>
      <c r="U493" s="950"/>
      <c r="V493" s="950"/>
      <c r="W493" s="950"/>
      <c r="X493" s="950"/>
      <c r="Y493" s="950"/>
      <c r="Z493" s="950"/>
      <c r="AA493" s="950"/>
      <c r="AB493" s="950"/>
      <c r="AC493" s="183"/>
      <c r="AD493" s="183"/>
      <c r="AE493" s="183"/>
      <c r="AF493" s="183"/>
      <c r="AG493" s="183"/>
      <c r="AH493" s="183"/>
      <c r="AI493" s="183"/>
      <c r="AJ493" s="183"/>
      <c r="AK493" s="183"/>
      <c r="AL493" s="183"/>
      <c r="AM493" s="183"/>
      <c r="AN493" s="183"/>
    </row>
    <row r="494" spans="1:40" x14ac:dyDescent="0.25">
      <c r="C494" s="362" t="s">
        <v>119</v>
      </c>
      <c r="D494" s="364">
        <f>D424+1</f>
        <v>2027</v>
      </c>
      <c r="E494" s="25"/>
      <c r="F494" s="362" t="s">
        <v>278</v>
      </c>
      <c r="G494" s="365" t="str">
        <f>Výpočty!O$56</f>
        <v>-</v>
      </c>
      <c r="H494" s="365" t="str">
        <f>IF(Výpočty!O$57="-"," ",CONCATENATE("- ",DAY(Výpočty!O$57),".",MONTH(Výpočty!O$57),".",D494))</f>
        <v xml:space="preserve"> </v>
      </c>
      <c r="L494" s="362" t="s">
        <v>119</v>
      </c>
      <c r="M494" s="364">
        <f>D494</f>
        <v>2027</v>
      </c>
      <c r="O494" s="362" t="s">
        <v>278</v>
      </c>
      <c r="P494" s="475" t="str">
        <f>Výpočty!O$52</f>
        <v>-</v>
      </c>
      <c r="Q494" s="475" t="str">
        <f>IF(P494="-"," ",H494)</f>
        <v xml:space="preserve"> </v>
      </c>
      <c r="T494" s="441"/>
      <c r="U494" s="441"/>
      <c r="V494" s="451" t="s">
        <v>195</v>
      </c>
      <c r="W494" s="364">
        <f>D494</f>
        <v>2027</v>
      </c>
      <c r="Z494" s="362" t="s">
        <v>278</v>
      </c>
      <c r="AA494" s="365" t="str">
        <f>G494</f>
        <v>-</v>
      </c>
      <c r="AB494" s="365" t="str">
        <f>H494</f>
        <v xml:space="preserve"> </v>
      </c>
      <c r="AC494" s="183"/>
      <c r="AD494" s="183"/>
      <c r="AE494" s="183"/>
      <c r="AF494" s="183"/>
      <c r="AG494" s="183"/>
      <c r="AH494" s="183"/>
      <c r="AI494" s="183"/>
      <c r="AJ494" s="183"/>
      <c r="AK494" s="183"/>
      <c r="AL494" s="183"/>
      <c r="AM494" s="183"/>
      <c r="AN494" s="183"/>
    </row>
    <row r="495" spans="1:40" x14ac:dyDescent="0.25">
      <c r="B495" s="13" t="s">
        <v>74</v>
      </c>
      <c r="C495" s="13" t="s">
        <v>105</v>
      </c>
      <c r="D495" s="715" t="str">
        <f t="shared" ref="D495:D500" si="203">D425</f>
        <v/>
      </c>
      <c r="E495" s="716"/>
      <c r="F495" s="716"/>
      <c r="G495" s="716"/>
      <c r="H495" s="717"/>
      <c r="K495" s="13" t="s">
        <v>74</v>
      </c>
      <c r="L495" s="13" t="s">
        <v>105</v>
      </c>
      <c r="M495" s="949" t="str">
        <f t="shared" ref="M495:M497" si="204">D495</f>
        <v/>
      </c>
      <c r="N495" s="738"/>
      <c r="O495" s="738"/>
      <c r="P495" s="738"/>
      <c r="Q495" s="738"/>
      <c r="T495" s="13" t="s">
        <v>74</v>
      </c>
      <c r="U495" s="13" t="s">
        <v>105</v>
      </c>
      <c r="V495" s="949" t="str">
        <f t="shared" ref="V495:V497" si="205">D495</f>
        <v/>
      </c>
      <c r="W495" s="738"/>
      <c r="X495" s="738"/>
      <c r="Y495" s="738"/>
      <c r="Z495" s="738"/>
      <c r="AA495" s="738"/>
      <c r="AB495" s="738"/>
      <c r="AC495" s="183"/>
      <c r="AD495" s="183"/>
      <c r="AK495" s="183"/>
      <c r="AL495" s="183"/>
      <c r="AM495" s="183"/>
      <c r="AN495" s="183"/>
    </row>
    <row r="496" spans="1:40" x14ac:dyDescent="0.25">
      <c r="B496" s="13" t="s">
        <v>100</v>
      </c>
      <c r="C496" s="13" t="s">
        <v>106</v>
      </c>
      <c r="D496" s="715" t="str">
        <f t="shared" si="203"/>
        <v/>
      </c>
      <c r="E496" s="716"/>
      <c r="F496" s="716"/>
      <c r="G496" s="716"/>
      <c r="H496" s="717"/>
      <c r="K496" s="13" t="s">
        <v>100</v>
      </c>
      <c r="L496" s="13" t="s">
        <v>106</v>
      </c>
      <c r="M496" s="941" t="str">
        <f t="shared" si="204"/>
        <v/>
      </c>
      <c r="N496" s="942"/>
      <c r="O496" s="942"/>
      <c r="P496" s="942"/>
      <c r="Q496" s="943"/>
      <c r="T496" s="13" t="s">
        <v>100</v>
      </c>
      <c r="U496" s="13" t="s">
        <v>106</v>
      </c>
      <c r="V496" s="941" t="str">
        <f t="shared" si="205"/>
        <v/>
      </c>
      <c r="W496" s="942"/>
      <c r="X496" s="942"/>
      <c r="Y496" s="942"/>
      <c r="Z496" s="942"/>
      <c r="AA496" s="942"/>
      <c r="AB496" s="943"/>
      <c r="AC496" s="183"/>
      <c r="AD496" s="183"/>
      <c r="AK496" s="183"/>
      <c r="AL496" s="183"/>
      <c r="AM496" s="183"/>
      <c r="AN496" s="183"/>
    </row>
    <row r="497" spans="2:40" x14ac:dyDescent="0.25">
      <c r="B497" s="13" t="s">
        <v>101</v>
      </c>
      <c r="C497" s="13" t="s">
        <v>107</v>
      </c>
      <c r="D497" s="715" t="str">
        <f t="shared" si="203"/>
        <v xml:space="preserve">Město Kraslice, IČ </v>
      </c>
      <c r="E497" s="716"/>
      <c r="F497" s="716"/>
      <c r="G497" s="716"/>
      <c r="H497" s="717"/>
      <c r="K497" s="13" t="s">
        <v>101</v>
      </c>
      <c r="L497" s="13" t="s">
        <v>107</v>
      </c>
      <c r="M497" s="941" t="str">
        <f t="shared" si="204"/>
        <v xml:space="preserve">Město Kraslice, IČ </v>
      </c>
      <c r="N497" s="942"/>
      <c r="O497" s="942"/>
      <c r="P497" s="942"/>
      <c r="Q497" s="943"/>
      <c r="T497" s="13" t="s">
        <v>101</v>
      </c>
      <c r="U497" s="13" t="s">
        <v>107</v>
      </c>
      <c r="V497" s="941" t="str">
        <f t="shared" si="205"/>
        <v xml:space="preserve">Město Kraslice, IČ </v>
      </c>
      <c r="W497" s="942"/>
      <c r="X497" s="942"/>
      <c r="Y497" s="942"/>
      <c r="Z497" s="942"/>
      <c r="AA497" s="942"/>
      <c r="AB497" s="943"/>
      <c r="AC497" s="183"/>
      <c r="AD497" s="183"/>
      <c r="AK497" s="183"/>
      <c r="AL497" s="183"/>
      <c r="AM497" s="183"/>
      <c r="AN497" s="183"/>
    </row>
    <row r="498" spans="2:40" x14ac:dyDescent="0.25">
      <c r="B498" s="13" t="s">
        <v>102</v>
      </c>
      <c r="C498" s="13" t="s">
        <v>109</v>
      </c>
      <c r="D498" s="923" t="str">
        <f t="shared" si="203"/>
        <v>[vyplnit]</v>
      </c>
      <c r="E498" s="924"/>
      <c r="F498" s="924"/>
      <c r="G498" s="924"/>
      <c r="H498" s="925"/>
      <c r="K498" s="13" t="s">
        <v>102</v>
      </c>
      <c r="L498" s="13" t="s">
        <v>109</v>
      </c>
      <c r="M498" s="926" t="str">
        <f>IF($D498="[vyplnit]"," ",$D498)</f>
        <v xml:space="preserve"> </v>
      </c>
      <c r="N498" s="927"/>
      <c r="O498" s="927"/>
      <c r="P498" s="927"/>
      <c r="Q498" s="928"/>
      <c r="T498" s="13" t="s">
        <v>102</v>
      </c>
      <c r="U498" s="13" t="s">
        <v>109</v>
      </c>
      <c r="V498" s="933" t="str">
        <f>IF($D498="[vyplnit]"," ",$D498)</f>
        <v xml:space="preserve"> </v>
      </c>
      <c r="W498" s="933"/>
      <c r="X498" s="933"/>
      <c r="Y498" s="933"/>
      <c r="Z498" s="933"/>
      <c r="AA498" s="933"/>
      <c r="AB498" s="933"/>
      <c r="AC498" s="183"/>
      <c r="AD498" s="183"/>
      <c r="AK498" s="183"/>
      <c r="AL498" s="183"/>
      <c r="AM498" s="183"/>
      <c r="AN498" s="183"/>
    </row>
    <row r="499" spans="2:40" x14ac:dyDescent="0.25">
      <c r="B499" s="13" t="s">
        <v>103</v>
      </c>
      <c r="C499" s="13" t="s">
        <v>108</v>
      </c>
      <c r="D499" s="923" t="str">
        <f t="shared" si="203"/>
        <v>[vyplnit]</v>
      </c>
      <c r="E499" s="924"/>
      <c r="F499" s="924"/>
      <c r="G499" s="924"/>
      <c r="H499" s="925"/>
      <c r="K499" s="13" t="s">
        <v>103</v>
      </c>
      <c r="L499" s="13" t="s">
        <v>108</v>
      </c>
      <c r="M499" s="926" t="str">
        <f t="shared" ref="M499:M500" si="206">IF($D499="[vyplnit]"," ",$D499)</f>
        <v xml:space="preserve"> </v>
      </c>
      <c r="N499" s="927"/>
      <c r="O499" s="927"/>
      <c r="P499" s="927"/>
      <c r="Q499" s="928"/>
      <c r="T499" s="13" t="s">
        <v>103</v>
      </c>
      <c r="U499" s="13" t="s">
        <v>108</v>
      </c>
      <c r="V499" s="933" t="str">
        <f t="shared" ref="V499:V500" si="207">IF($D499="[vyplnit]"," ",$D499)</f>
        <v xml:space="preserve"> </v>
      </c>
      <c r="W499" s="933"/>
      <c r="X499" s="933"/>
      <c r="Y499" s="933"/>
      <c r="Z499" s="933"/>
      <c r="AA499" s="933"/>
      <c r="AB499" s="933"/>
      <c r="AC499" s="183"/>
      <c r="AD499" s="183"/>
      <c r="AK499" s="183"/>
      <c r="AL499" s="183"/>
      <c r="AM499" s="183"/>
      <c r="AN499" s="183"/>
    </row>
    <row r="500" spans="2:40" x14ac:dyDescent="0.25">
      <c r="B500" s="13" t="s">
        <v>104</v>
      </c>
      <c r="C500" s="13" t="s">
        <v>110</v>
      </c>
      <c r="D500" s="923" t="str">
        <f t="shared" si="203"/>
        <v>[vyplnit]</v>
      </c>
      <c r="E500" s="924"/>
      <c r="F500" s="924"/>
      <c r="G500" s="924"/>
      <c r="H500" s="925"/>
      <c r="K500" s="13" t="s">
        <v>104</v>
      </c>
      <c r="L500" s="13" t="s">
        <v>110</v>
      </c>
      <c r="M500" s="926" t="str">
        <f t="shared" si="206"/>
        <v xml:space="preserve"> </v>
      </c>
      <c r="N500" s="927"/>
      <c r="O500" s="927"/>
      <c r="P500" s="927"/>
      <c r="Q500" s="928"/>
      <c r="T500" s="13" t="s">
        <v>104</v>
      </c>
      <c r="U500" s="13" t="s">
        <v>110</v>
      </c>
      <c r="V500" s="933" t="str">
        <f t="shared" si="207"/>
        <v xml:space="preserve"> </v>
      </c>
      <c r="W500" s="933"/>
      <c r="X500" s="933"/>
      <c r="Y500" s="933"/>
      <c r="Z500" s="933"/>
      <c r="AA500" s="933"/>
      <c r="AB500" s="933"/>
      <c r="AC500" s="183"/>
      <c r="AD500" s="183"/>
      <c r="AK500" s="183"/>
      <c r="AL500" s="183"/>
      <c r="AM500" s="183"/>
      <c r="AN500" s="183"/>
    </row>
    <row r="501" spans="2:40" x14ac:dyDescent="0.25">
      <c r="AC501" s="183"/>
      <c r="AK501" s="183"/>
      <c r="AL501" s="183"/>
      <c r="AM501" s="183"/>
      <c r="AN501" s="183"/>
    </row>
    <row r="502" spans="2:40" x14ac:dyDescent="0.25">
      <c r="B502" s="932" t="s">
        <v>5</v>
      </c>
      <c r="C502" s="721" t="s">
        <v>0</v>
      </c>
      <c r="D502" s="722"/>
      <c r="E502" s="722"/>
      <c r="F502" s="722"/>
      <c r="G502" s="722"/>
      <c r="H502" s="725"/>
      <c r="K502" s="932" t="s">
        <v>5</v>
      </c>
      <c r="L502" s="721" t="s">
        <v>0</v>
      </c>
      <c r="M502" s="722"/>
      <c r="N502" s="722"/>
      <c r="O502" s="722"/>
      <c r="P502" s="722"/>
      <c r="Q502" s="725"/>
      <c r="T502" s="932" t="s">
        <v>5</v>
      </c>
      <c r="U502" s="721" t="s">
        <v>0</v>
      </c>
      <c r="V502" s="722"/>
      <c r="W502" s="722"/>
      <c r="X502" s="722"/>
      <c r="Y502" s="722"/>
      <c r="Z502" s="722"/>
      <c r="AA502" s="722"/>
      <c r="AB502" s="725"/>
      <c r="AC502" s="183"/>
      <c r="AK502" s="183"/>
      <c r="AL502" s="183"/>
      <c r="AM502" s="183"/>
      <c r="AN502" s="183"/>
    </row>
    <row r="503" spans="2:40" x14ac:dyDescent="0.25">
      <c r="B503" s="930"/>
      <c r="C503" s="932" t="s">
        <v>1</v>
      </c>
      <c r="D503" s="929" t="s">
        <v>173</v>
      </c>
      <c r="E503" s="721" t="s">
        <v>3</v>
      </c>
      <c r="F503" s="722"/>
      <c r="G503" s="721" t="s">
        <v>4</v>
      </c>
      <c r="H503" s="725"/>
      <c r="K503" s="930"/>
      <c r="L503" s="932" t="s">
        <v>1</v>
      </c>
      <c r="M503" s="929" t="s">
        <v>173</v>
      </c>
      <c r="N503" s="721" t="s">
        <v>3</v>
      </c>
      <c r="O503" s="722"/>
      <c r="P503" s="721" t="s">
        <v>4</v>
      </c>
      <c r="Q503" s="725"/>
      <c r="T503" s="930"/>
      <c r="U503" s="932" t="s">
        <v>1</v>
      </c>
      <c r="V503" s="929" t="s">
        <v>173</v>
      </c>
      <c r="W503" s="721" t="s">
        <v>3</v>
      </c>
      <c r="X503" s="722"/>
      <c r="Y503" s="722"/>
      <c r="Z503" s="721" t="s">
        <v>4</v>
      </c>
      <c r="AA503" s="722"/>
      <c r="AB503" s="725"/>
      <c r="AC503" s="183"/>
      <c r="AK503" s="183"/>
      <c r="AL503" s="183"/>
      <c r="AM503" s="183"/>
      <c r="AN503" s="183"/>
    </row>
    <row r="504" spans="2:40" x14ac:dyDescent="0.25">
      <c r="B504" s="930"/>
      <c r="C504" s="930"/>
      <c r="D504" s="930"/>
      <c r="E504" s="30">
        <f>D494-1</f>
        <v>2026</v>
      </c>
      <c r="F504" s="30">
        <f>D494</f>
        <v>2027</v>
      </c>
      <c r="G504" s="30">
        <f>D494-1</f>
        <v>2026</v>
      </c>
      <c r="H504" s="30">
        <f>D494</f>
        <v>2027</v>
      </c>
      <c r="K504" s="930"/>
      <c r="L504" s="930"/>
      <c r="M504" s="930"/>
      <c r="N504" s="30">
        <f>M494-1</f>
        <v>2026</v>
      </c>
      <c r="O504" s="30">
        <f>M494</f>
        <v>2027</v>
      </c>
      <c r="P504" s="30">
        <f>M494-1</f>
        <v>2026</v>
      </c>
      <c r="Q504" s="30">
        <f>M494</f>
        <v>2027</v>
      </c>
      <c r="T504" s="930"/>
      <c r="U504" s="930"/>
      <c r="V504" s="930"/>
      <c r="W504" s="30">
        <f>W494</f>
        <v>2027</v>
      </c>
      <c r="X504" s="30">
        <f>W494</f>
        <v>2027</v>
      </c>
      <c r="Y504" s="30">
        <f>W494</f>
        <v>2027</v>
      </c>
      <c r="Z504" s="30">
        <f>W494</f>
        <v>2027</v>
      </c>
      <c r="AA504" s="30">
        <f>W494</f>
        <v>2027</v>
      </c>
      <c r="AB504" s="30">
        <f>W494</f>
        <v>2027</v>
      </c>
      <c r="AC504" s="183"/>
      <c r="AK504" s="183"/>
      <c r="AL504" s="183"/>
      <c r="AM504" s="183"/>
      <c r="AN504" s="183"/>
    </row>
    <row r="505" spans="2:40" x14ac:dyDescent="0.25">
      <c r="B505" s="931"/>
      <c r="C505" s="931"/>
      <c r="D505" s="931"/>
      <c r="E505" s="7" t="s">
        <v>199</v>
      </c>
      <c r="F505" s="7" t="s">
        <v>114</v>
      </c>
      <c r="G505" s="7" t="s">
        <v>199</v>
      </c>
      <c r="H505" s="19" t="s">
        <v>114</v>
      </c>
      <c r="K505" s="931"/>
      <c r="L505" s="931"/>
      <c r="M505" s="931"/>
      <c r="N505" s="7" t="s">
        <v>199</v>
      </c>
      <c r="O505" s="7" t="s">
        <v>114</v>
      </c>
      <c r="P505" s="7" t="s">
        <v>199</v>
      </c>
      <c r="Q505" s="19" t="s">
        <v>114</v>
      </c>
      <c r="T505" s="931"/>
      <c r="U505" s="931"/>
      <c r="V505" s="931"/>
      <c r="W505" s="7" t="s">
        <v>198</v>
      </c>
      <c r="X505" s="7" t="s">
        <v>114</v>
      </c>
      <c r="Y505" s="7" t="s">
        <v>197</v>
      </c>
      <c r="Z505" s="7" t="s">
        <v>198</v>
      </c>
      <c r="AA505" s="7" t="s">
        <v>114</v>
      </c>
      <c r="AB505" s="19" t="s">
        <v>197</v>
      </c>
      <c r="AC505" s="183"/>
      <c r="AK505" s="183"/>
      <c r="AL505" s="183"/>
      <c r="AM505" s="183"/>
      <c r="AN505" s="183"/>
    </row>
    <row r="506" spans="2:40" x14ac:dyDescent="0.25">
      <c r="B506" s="11">
        <v>1</v>
      </c>
      <c r="C506" s="11">
        <v>2</v>
      </c>
      <c r="D506" s="11" t="s">
        <v>111</v>
      </c>
      <c r="E506" s="11">
        <v>3</v>
      </c>
      <c r="F506" s="11">
        <v>4</v>
      </c>
      <c r="G506" s="11">
        <v>6</v>
      </c>
      <c r="H506" s="22">
        <v>7</v>
      </c>
      <c r="K506" s="11">
        <v>1</v>
      </c>
      <c r="L506" s="11">
        <v>2</v>
      </c>
      <c r="M506" s="11" t="s">
        <v>111</v>
      </c>
      <c r="N506" s="11">
        <v>3</v>
      </c>
      <c r="O506" s="11">
        <v>4</v>
      </c>
      <c r="P506" s="11">
        <v>6</v>
      </c>
      <c r="Q506" s="22">
        <v>7</v>
      </c>
      <c r="T506" s="11">
        <v>1</v>
      </c>
      <c r="U506" s="11">
        <v>2</v>
      </c>
      <c r="V506" s="11" t="s">
        <v>111</v>
      </c>
      <c r="W506" s="11">
        <v>3</v>
      </c>
      <c r="X506" s="11">
        <v>4</v>
      </c>
      <c r="Y506" s="11">
        <v>5</v>
      </c>
      <c r="Z506" s="11">
        <v>6</v>
      </c>
      <c r="AA506" s="11">
        <v>7</v>
      </c>
      <c r="AB506" s="22">
        <v>8</v>
      </c>
      <c r="AC506" s="183"/>
      <c r="AK506" s="183"/>
      <c r="AL506" s="183"/>
      <c r="AM506" s="183"/>
      <c r="AN506" s="183"/>
    </row>
    <row r="507" spans="2:40" x14ac:dyDescent="0.25">
      <c r="B507" s="9" t="s">
        <v>8</v>
      </c>
      <c r="C507" s="10" t="s">
        <v>9</v>
      </c>
      <c r="D507" s="11" t="s">
        <v>10</v>
      </c>
      <c r="E507" s="46">
        <f>SUM(E508:E511)</f>
        <v>0</v>
      </c>
      <c r="F507" s="46">
        <f>SUM(F508:F511)</f>
        <v>0</v>
      </c>
      <c r="G507" s="46">
        <f>SUM(G508:G511)</f>
        <v>0</v>
      </c>
      <c r="H507" s="98">
        <f>SUM(H508:H511)</f>
        <v>0</v>
      </c>
      <c r="K507" s="9" t="s">
        <v>8</v>
      </c>
      <c r="L507" s="10" t="s">
        <v>9</v>
      </c>
      <c r="M507" s="11" t="s">
        <v>10</v>
      </c>
      <c r="N507" s="46">
        <f>SUM(N508:N511)</f>
        <v>0</v>
      </c>
      <c r="O507" s="46">
        <f>SUM(O508:O511)</f>
        <v>0</v>
      </c>
      <c r="P507" s="46">
        <f>SUM(P508:P511)</f>
        <v>0</v>
      </c>
      <c r="Q507" s="98">
        <f>SUM(Q508:Q511)</f>
        <v>0</v>
      </c>
      <c r="T507" s="9" t="s">
        <v>8</v>
      </c>
      <c r="U507" s="10" t="s">
        <v>9</v>
      </c>
      <c r="V507" s="11" t="s">
        <v>10</v>
      </c>
      <c r="W507" s="98">
        <f t="shared" ref="W507:AB507" si="208">SUM(W508:W511)</f>
        <v>0</v>
      </c>
      <c r="X507" s="98">
        <f t="shared" si="208"/>
        <v>0</v>
      </c>
      <c r="Y507" s="98">
        <f t="shared" si="208"/>
        <v>0</v>
      </c>
      <c r="Z507" s="98">
        <f t="shared" si="208"/>
        <v>0</v>
      </c>
      <c r="AA507" s="98">
        <f t="shared" si="208"/>
        <v>0</v>
      </c>
      <c r="AB507" s="98">
        <f t="shared" si="208"/>
        <v>0</v>
      </c>
      <c r="AC507" s="183"/>
      <c r="AK507" s="183"/>
      <c r="AL507" s="183"/>
      <c r="AM507" s="183"/>
      <c r="AN507" s="183"/>
    </row>
    <row r="508" spans="2:40" x14ac:dyDescent="0.25">
      <c r="B508" s="12" t="s">
        <v>11</v>
      </c>
      <c r="C508" s="13" t="s">
        <v>12</v>
      </c>
      <c r="D508" s="3" t="s">
        <v>10</v>
      </c>
      <c r="E508" s="49">
        <v>0</v>
      </c>
      <c r="F508" s="49">
        <f>IF(YEAR(Postup!$H$25)&gt;$D$494,Provozování!AS23,IF(AND(DAY(Postup!$H$25)=31,MONTH(Postup!$H$25)=12,YEAR(Postup!$H$25)=$D$494),Provozování!AS23,IF(YEAR(Postup!$H$25)=$D$494,Provozování!$BL23,0)))</f>
        <v>0</v>
      </c>
      <c r="G508" s="49">
        <v>0</v>
      </c>
      <c r="H508" s="442">
        <v>0</v>
      </c>
      <c r="K508" s="12" t="s">
        <v>11</v>
      </c>
      <c r="L508" s="13" t="s">
        <v>12</v>
      </c>
      <c r="M508" s="3" t="s">
        <v>10</v>
      </c>
      <c r="N508" s="49">
        <v>0</v>
      </c>
      <c r="O508" s="49">
        <f>IF(Provozování!$AU$16="Neaktivní",0,Provozování!AU23)</f>
        <v>0</v>
      </c>
      <c r="P508" s="49">
        <v>0</v>
      </c>
      <c r="Q508" s="442">
        <v>0</v>
      </c>
      <c r="T508" s="12" t="s">
        <v>11</v>
      </c>
      <c r="U508" s="13" t="s">
        <v>12</v>
      </c>
      <c r="V508" s="3" t="s">
        <v>10</v>
      </c>
      <c r="W508" s="595">
        <v>0</v>
      </c>
      <c r="X508" s="49">
        <f>IF(Provozování!$AU$16="Neaktivní",F508,F508*Výpočty!$O$58+O508)</f>
        <v>0</v>
      </c>
      <c r="Y508" s="49">
        <f>W508-X508</f>
        <v>0</v>
      </c>
      <c r="Z508" s="445">
        <v>0</v>
      </c>
      <c r="AA508" s="445">
        <v>0</v>
      </c>
      <c r="AB508" s="442">
        <v>0</v>
      </c>
      <c r="AC508" s="183"/>
      <c r="AK508" s="183"/>
      <c r="AL508" s="183"/>
      <c r="AM508" s="183"/>
      <c r="AN508" s="183"/>
    </row>
    <row r="509" spans="2:40" x14ac:dyDescent="0.25">
      <c r="B509" s="12" t="s">
        <v>13</v>
      </c>
      <c r="C509" s="12" t="s">
        <v>14</v>
      </c>
      <c r="D509" s="3" t="s">
        <v>10</v>
      </c>
      <c r="E509" s="58">
        <v>0</v>
      </c>
      <c r="F509" s="49">
        <f>IF(YEAR(Postup!$H$25)&gt;$D$494,Provozování!AS24,IF(AND(DAY(Postup!$H$25)=31,MONTH(Postup!$H$25)=12,YEAR(Postup!$H$25)=$D$494),Provozování!AS24,IF(YEAR(Postup!$H$25)=$D$494,Provozování!$BL24,0)))</f>
        <v>0</v>
      </c>
      <c r="G509" s="58">
        <v>0</v>
      </c>
      <c r="H509" s="32">
        <f>IF(YEAR(Postup!$H$25)&gt;$D$494,Provozování!AT24,IF(AND(DAY(Postup!$H$25)=31,MONTH(Postup!$H$25)=12,YEAR(Postup!$H$25)=$D$494),Provozování!AT24,IF(YEAR(Postup!$H$25)=$D$494,Provozování!$BM24,0)))</f>
        <v>0</v>
      </c>
      <c r="K509" s="12" t="s">
        <v>13</v>
      </c>
      <c r="L509" s="12" t="s">
        <v>14</v>
      </c>
      <c r="M509" s="3" t="s">
        <v>10</v>
      </c>
      <c r="N509" s="58">
        <v>0</v>
      </c>
      <c r="O509" s="49">
        <f>IF(Provozování!$AU$16="Neaktivní",0,Provozování!AU24)</f>
        <v>0</v>
      </c>
      <c r="P509" s="58">
        <v>0</v>
      </c>
      <c r="Q509" s="59">
        <f>IF(Provozování!$AU$16="Neaktivní",0,Provozování!AV24)</f>
        <v>0</v>
      </c>
      <c r="T509" s="12" t="s">
        <v>13</v>
      </c>
      <c r="U509" s="12" t="s">
        <v>14</v>
      </c>
      <c r="V509" s="3" t="s">
        <v>10</v>
      </c>
      <c r="W509" s="596">
        <v>0</v>
      </c>
      <c r="X509" s="49">
        <f>IF(Provozování!$AU$16="Neaktivní",F509,F509*Výpočty!$O$58+O509)</f>
        <v>0</v>
      </c>
      <c r="Y509" s="49">
        <f t="shared" ref="Y509:Y511" si="209">W509-X509</f>
        <v>0</v>
      </c>
      <c r="Z509" s="596">
        <v>0</v>
      </c>
      <c r="AA509" s="49">
        <f>IF(Provozování!$AU$16="Neaktivní",H509,H509*Výpočty!$O$58+Q509)</f>
        <v>0</v>
      </c>
      <c r="AB509" s="32">
        <f t="shared" ref="AB509:AB511" si="210">Z509-AA509</f>
        <v>0</v>
      </c>
      <c r="AC509" s="183"/>
      <c r="AK509" s="183"/>
      <c r="AL509" s="183"/>
      <c r="AM509" s="183"/>
      <c r="AN509" s="183"/>
    </row>
    <row r="510" spans="2:40" x14ac:dyDescent="0.25">
      <c r="B510" s="12" t="s">
        <v>15</v>
      </c>
      <c r="C510" s="13" t="s">
        <v>16</v>
      </c>
      <c r="D510" s="3" t="s">
        <v>10</v>
      </c>
      <c r="E510" s="32">
        <v>0</v>
      </c>
      <c r="F510" s="590">
        <f>IF(YEAR(Postup!$H$25)&gt;$D$494,Provozování!AS25,IF(AND(DAY(Postup!$H$25)=31,MONTH(Postup!$H$25)=12,YEAR(Postup!$H$25)=$D$494),Provozování!AS25,IF(YEAR(Postup!$H$25)=$D$494,Provozování!$BL25,0)))</f>
        <v>0</v>
      </c>
      <c r="G510" s="32">
        <v>0</v>
      </c>
      <c r="H510" s="590">
        <f>IF(YEAR(Postup!$H$25)&gt;$D$494,Provozování!AT25,IF(AND(DAY(Postup!$H$25)=31,MONTH(Postup!$H$25)=12,YEAR(Postup!$H$25)=$D$494),Provozování!AT25,IF(YEAR(Postup!$H$25)=$D$494,Provozování!$BM25,0)))</f>
        <v>0</v>
      </c>
      <c r="K510" s="12" t="s">
        <v>15</v>
      </c>
      <c r="L510" s="13" t="s">
        <v>16</v>
      </c>
      <c r="M510" s="3" t="s">
        <v>10</v>
      </c>
      <c r="N510" s="32">
        <v>0</v>
      </c>
      <c r="O510" s="443">
        <f>IF(Provozování!$AU$16="Neaktivní",0,Provozování!AU25)</f>
        <v>0</v>
      </c>
      <c r="P510" s="32">
        <v>0</v>
      </c>
      <c r="Q510" s="443">
        <f>IF(Provozování!$AU$16="Neaktivní",0,Provozování!AV25)</f>
        <v>0</v>
      </c>
      <c r="T510" s="12" t="s">
        <v>15</v>
      </c>
      <c r="U510" s="13" t="s">
        <v>16</v>
      </c>
      <c r="V510" s="3" t="s">
        <v>10</v>
      </c>
      <c r="W510" s="597">
        <v>0</v>
      </c>
      <c r="X510" s="49">
        <f>IF(Provozování!$AU$16="Neaktivní",F510,F510*Výpočty!$O$58+O510)</f>
        <v>0</v>
      </c>
      <c r="Y510" s="49">
        <f t="shared" si="209"/>
        <v>0</v>
      </c>
      <c r="Z510" s="597">
        <v>0</v>
      </c>
      <c r="AA510" s="49">
        <f>IF(Provozování!$AU$16="Neaktivní",H510,H510*Výpočty!$O$58+Q510)</f>
        <v>0</v>
      </c>
      <c r="AB510" s="32">
        <f t="shared" si="210"/>
        <v>0</v>
      </c>
      <c r="AC510" s="183"/>
      <c r="AK510" s="183"/>
      <c r="AL510" s="183"/>
      <c r="AM510" s="183"/>
      <c r="AN510" s="183"/>
    </row>
    <row r="511" spans="2:40" x14ac:dyDescent="0.25">
      <c r="B511" s="12" t="s">
        <v>17</v>
      </c>
      <c r="C511" s="13" t="s">
        <v>18</v>
      </c>
      <c r="D511" s="3" t="s">
        <v>10</v>
      </c>
      <c r="E511" s="99">
        <v>0</v>
      </c>
      <c r="F511" s="590">
        <f>IF(YEAR(Postup!$H$25)&gt;$D$494,Provozování!AS26,IF(AND(DAY(Postup!$H$25)=31,MONTH(Postup!$H$25)=12,YEAR(Postup!$H$25)=$D$494),Provozování!AS26,IF(YEAR(Postup!$H$25)=$D$494,Provozování!$BL26,0)))</f>
        <v>0</v>
      </c>
      <c r="G511" s="99">
        <v>0</v>
      </c>
      <c r="H511" s="590">
        <f>IF(YEAR(Postup!$H$25)&gt;$D$494,Provozování!AT26,IF(AND(DAY(Postup!$H$25)=31,MONTH(Postup!$H$25)=12,YEAR(Postup!$H$25)=$D$494),Provozování!AT26,IF(YEAR(Postup!$H$25)=$D$494,Provozování!$BM26,0)))</f>
        <v>0</v>
      </c>
      <c r="K511" s="12" t="s">
        <v>17</v>
      </c>
      <c r="L511" s="13" t="s">
        <v>18</v>
      </c>
      <c r="M511" s="3" t="s">
        <v>10</v>
      </c>
      <c r="N511" s="99">
        <v>0</v>
      </c>
      <c r="O511" s="443">
        <f>IF(Provozování!$AU$16="Neaktivní",0,Provozování!AU26)</f>
        <v>0</v>
      </c>
      <c r="P511" s="99">
        <v>0</v>
      </c>
      <c r="Q511" s="443">
        <f>IF(Provozování!$AU$16="Neaktivní",0,Provozování!AV26)</f>
        <v>0</v>
      </c>
      <c r="T511" s="12" t="s">
        <v>17</v>
      </c>
      <c r="U511" s="13" t="s">
        <v>18</v>
      </c>
      <c r="V511" s="3" t="s">
        <v>10</v>
      </c>
      <c r="W511" s="598">
        <v>0</v>
      </c>
      <c r="X511" s="49">
        <f>IF(Provozování!$AU$16="Neaktivní",F511,F511*Výpočty!$O$58+O511)</f>
        <v>0</v>
      </c>
      <c r="Y511" s="49">
        <f t="shared" si="209"/>
        <v>0</v>
      </c>
      <c r="Z511" s="598">
        <v>0</v>
      </c>
      <c r="AA511" s="49">
        <f>IF(Provozování!$AU$16="Neaktivní",H511,H511*Výpočty!$O$58+Q511)</f>
        <v>0</v>
      </c>
      <c r="AB511" s="32">
        <f t="shared" si="210"/>
        <v>0</v>
      </c>
      <c r="AC511" s="183"/>
      <c r="AK511" s="183"/>
      <c r="AL511" s="183"/>
      <c r="AM511" s="183"/>
      <c r="AN511" s="183"/>
    </row>
    <row r="512" spans="2:40" x14ac:dyDescent="0.25">
      <c r="B512" s="9" t="s">
        <v>19</v>
      </c>
      <c r="C512" s="10" t="s">
        <v>20</v>
      </c>
      <c r="D512" s="11" t="s">
        <v>10</v>
      </c>
      <c r="E512" s="100">
        <f>SUM(E513:E514)</f>
        <v>0</v>
      </c>
      <c r="F512" s="100">
        <f>SUM(F513:F514)</f>
        <v>0</v>
      </c>
      <c r="G512" s="100">
        <f>SUM(G513:G514)</f>
        <v>0</v>
      </c>
      <c r="H512" s="98">
        <f>SUM(H513:H514)</f>
        <v>0</v>
      </c>
      <c r="K512" s="9" t="s">
        <v>19</v>
      </c>
      <c r="L512" s="10" t="s">
        <v>20</v>
      </c>
      <c r="M512" s="11" t="s">
        <v>10</v>
      </c>
      <c r="N512" s="100">
        <f>SUM(N513:N514)</f>
        <v>0</v>
      </c>
      <c r="O512" s="100">
        <f>SUM(O513:O514)</f>
        <v>0</v>
      </c>
      <c r="P512" s="100">
        <f>SUM(P513:P514)</f>
        <v>0</v>
      </c>
      <c r="Q512" s="98">
        <f>SUM(Q513:Q514)</f>
        <v>0</v>
      </c>
      <c r="T512" s="9" t="s">
        <v>19</v>
      </c>
      <c r="U512" s="10" t="s">
        <v>20</v>
      </c>
      <c r="V512" s="11" t="s">
        <v>10</v>
      </c>
      <c r="W512" s="98">
        <f t="shared" ref="W512:AB512" si="211">SUM(W513:W514)</f>
        <v>0</v>
      </c>
      <c r="X512" s="98">
        <f t="shared" si="211"/>
        <v>0</v>
      </c>
      <c r="Y512" s="98">
        <f t="shared" si="211"/>
        <v>0</v>
      </c>
      <c r="Z512" s="98">
        <f t="shared" si="211"/>
        <v>0</v>
      </c>
      <c r="AA512" s="98">
        <f t="shared" si="211"/>
        <v>0</v>
      </c>
      <c r="AB512" s="98">
        <f t="shared" si="211"/>
        <v>0</v>
      </c>
      <c r="AC512" s="183"/>
      <c r="AK512" s="183"/>
      <c r="AL512" s="183"/>
      <c r="AM512" s="183"/>
      <c r="AN512" s="183"/>
    </row>
    <row r="513" spans="2:40" x14ac:dyDescent="0.25">
      <c r="B513" s="12" t="s">
        <v>21</v>
      </c>
      <c r="C513" s="12" t="s">
        <v>22</v>
      </c>
      <c r="D513" s="3" t="s">
        <v>10</v>
      </c>
      <c r="E513" s="32">
        <v>0</v>
      </c>
      <c r="F513" s="590">
        <f>IF(YEAR(Postup!$H$25)&gt;$D$494,Provozování!AS28,IF(AND(DAY(Postup!$H$25)=31,MONTH(Postup!$H$25)=12,YEAR(Postup!$H$25)=$D$494),Provozování!AS28,IF(YEAR(Postup!$H$25)=$D$494,Provozování!$BL28,0)))</f>
        <v>0</v>
      </c>
      <c r="G513" s="32">
        <v>0</v>
      </c>
      <c r="H513" s="590">
        <f>IF(YEAR(Postup!$H$25)&gt;$D$494,Provozování!AT28,IF(AND(DAY(Postup!$H$25)=31,MONTH(Postup!$H$25)=12,YEAR(Postup!$H$25)=$D$494),Provozování!AT28,IF(YEAR(Postup!$H$25)=$D$494,Provozování!$BM28,0)))</f>
        <v>0</v>
      </c>
      <c r="K513" s="12" t="s">
        <v>21</v>
      </c>
      <c r="L513" s="12" t="s">
        <v>22</v>
      </c>
      <c r="M513" s="3" t="s">
        <v>10</v>
      </c>
      <c r="N513" s="32">
        <v>0</v>
      </c>
      <c r="O513" s="443">
        <f>IF(Provozování!$AU$16="Neaktivní",0,Provozování!AU28)</f>
        <v>0</v>
      </c>
      <c r="P513" s="32">
        <v>0</v>
      </c>
      <c r="Q513" s="443">
        <f>IF(Provozování!$AU$16="Neaktivní",0,Provozování!AV28)</f>
        <v>0</v>
      </c>
      <c r="T513" s="12" t="s">
        <v>21</v>
      </c>
      <c r="U513" s="12" t="s">
        <v>22</v>
      </c>
      <c r="V513" s="3" t="s">
        <v>10</v>
      </c>
      <c r="W513" s="595">
        <v>0</v>
      </c>
      <c r="X513" s="49">
        <f>IF(Provozování!$AU$16="Neaktivní",F513,F513*Výpočty!$O$58+O513)</f>
        <v>0</v>
      </c>
      <c r="Y513" s="49">
        <f t="shared" ref="Y513:Y514" si="212">W513-X513</f>
        <v>0</v>
      </c>
      <c r="Z513" s="597">
        <v>0</v>
      </c>
      <c r="AA513" s="49">
        <f>IF(Provozování!$AU$16="Neaktivní",H513,H513*Výpočty!$O$58+Q513)</f>
        <v>0</v>
      </c>
      <c r="AB513" s="32">
        <f t="shared" ref="AB513:AB514" si="213">Z513-AA513</f>
        <v>0</v>
      </c>
      <c r="AC513" s="183"/>
      <c r="AK513" s="183"/>
      <c r="AL513" s="183"/>
      <c r="AM513" s="183"/>
      <c r="AN513" s="183"/>
    </row>
    <row r="514" spans="2:40" x14ac:dyDescent="0.25">
      <c r="B514" s="12" t="s">
        <v>23</v>
      </c>
      <c r="C514" s="12" t="s">
        <v>24</v>
      </c>
      <c r="D514" s="3" t="s">
        <v>10</v>
      </c>
      <c r="E514" s="99">
        <v>0</v>
      </c>
      <c r="F514" s="590">
        <f>IF(YEAR(Postup!$H$25)&gt;$D$494,Provozování!AS29,IF(AND(DAY(Postup!$H$25)=31,MONTH(Postup!$H$25)=12,YEAR(Postup!$H$25)=$D$494),Provozování!AS29,IF(YEAR(Postup!$H$25)=$D$494,Provozování!$BL29,0)))</f>
        <v>0</v>
      </c>
      <c r="G514" s="99">
        <v>0</v>
      </c>
      <c r="H514" s="590">
        <f>IF(YEAR(Postup!$H$25)&gt;$D$494,Provozování!AT29,IF(AND(DAY(Postup!$H$25)=31,MONTH(Postup!$H$25)=12,YEAR(Postup!$H$25)=$D$494),Provozování!AT29,IF(YEAR(Postup!$H$25)=$D$494,Provozování!$BM29,0)))</f>
        <v>0</v>
      </c>
      <c r="K514" s="12" t="s">
        <v>23</v>
      </c>
      <c r="L514" s="12" t="s">
        <v>24</v>
      </c>
      <c r="M514" s="3" t="s">
        <v>10</v>
      </c>
      <c r="N514" s="99">
        <v>0</v>
      </c>
      <c r="O514" s="443">
        <f>IF(Provozování!$AU$16="Neaktivní",0,Provozování!AU29)</f>
        <v>0</v>
      </c>
      <c r="P514" s="99">
        <v>0</v>
      </c>
      <c r="Q514" s="443">
        <f>IF(Provozování!$AU$16="Neaktivní",0,Provozování!AV29)</f>
        <v>0</v>
      </c>
      <c r="T514" s="12" t="s">
        <v>23</v>
      </c>
      <c r="U514" s="12" t="s">
        <v>24</v>
      </c>
      <c r="V514" s="3" t="s">
        <v>10</v>
      </c>
      <c r="W514" s="596">
        <v>0</v>
      </c>
      <c r="X514" s="49">
        <f>IF(Provozování!$AU$16="Neaktivní",F514,F514*Výpočty!$O$58+O514)</f>
        <v>0</v>
      </c>
      <c r="Y514" s="49">
        <f t="shared" si="212"/>
        <v>0</v>
      </c>
      <c r="Z514" s="598">
        <v>0</v>
      </c>
      <c r="AA514" s="49">
        <f>IF(Provozování!$AU$16="Neaktivní",H514,H514*Výpočty!$O$58+Q514)</f>
        <v>0</v>
      </c>
      <c r="AB514" s="32">
        <f t="shared" si="213"/>
        <v>0</v>
      </c>
      <c r="AC514" s="183"/>
      <c r="AK514" s="183"/>
      <c r="AL514" s="183"/>
      <c r="AM514" s="183"/>
      <c r="AN514" s="183"/>
    </row>
    <row r="515" spans="2:40" x14ac:dyDescent="0.25">
      <c r="B515" s="9" t="s">
        <v>25</v>
      </c>
      <c r="C515" s="10" t="s">
        <v>26</v>
      </c>
      <c r="D515" s="11" t="s">
        <v>10</v>
      </c>
      <c r="E515" s="46">
        <f>SUM(E516:E517)</f>
        <v>0</v>
      </c>
      <c r="F515" s="46">
        <f>SUM(F516:F517)</f>
        <v>0</v>
      </c>
      <c r="G515" s="46">
        <f>SUM(G516:G517)</f>
        <v>0</v>
      </c>
      <c r="H515" s="98">
        <f>SUM(H516:H517)</f>
        <v>0</v>
      </c>
      <c r="K515" s="9" t="s">
        <v>25</v>
      </c>
      <c r="L515" s="10" t="s">
        <v>26</v>
      </c>
      <c r="M515" s="11" t="s">
        <v>10</v>
      </c>
      <c r="N515" s="46">
        <f>SUM(N516:N517)</f>
        <v>0</v>
      </c>
      <c r="O515" s="46">
        <f>SUM(O516:O517)</f>
        <v>0</v>
      </c>
      <c r="P515" s="46">
        <f>SUM(P516:P517)</f>
        <v>0</v>
      </c>
      <c r="Q515" s="98">
        <f>SUM(Q516:Q517)</f>
        <v>0</v>
      </c>
      <c r="T515" s="9" t="s">
        <v>25</v>
      </c>
      <c r="U515" s="10" t="s">
        <v>26</v>
      </c>
      <c r="V515" s="11" t="s">
        <v>10</v>
      </c>
      <c r="W515" s="98">
        <f t="shared" ref="W515:AB515" si="214">SUM(W516:W517)</f>
        <v>0</v>
      </c>
      <c r="X515" s="98">
        <f t="shared" si="214"/>
        <v>0</v>
      </c>
      <c r="Y515" s="98">
        <f t="shared" si="214"/>
        <v>0</v>
      </c>
      <c r="Z515" s="98">
        <f t="shared" si="214"/>
        <v>0</v>
      </c>
      <c r="AA515" s="98">
        <f t="shared" si="214"/>
        <v>0</v>
      </c>
      <c r="AB515" s="98">
        <f t="shared" si="214"/>
        <v>0</v>
      </c>
      <c r="AC515" s="183"/>
      <c r="AD515" s="183"/>
      <c r="AK515" s="183"/>
      <c r="AL515" s="183"/>
      <c r="AM515" s="183"/>
      <c r="AN515" s="183"/>
    </row>
    <row r="516" spans="2:40" x14ac:dyDescent="0.25">
      <c r="B516" s="12" t="s">
        <v>27</v>
      </c>
      <c r="C516" s="13" t="s">
        <v>28</v>
      </c>
      <c r="D516" s="3" t="s">
        <v>10</v>
      </c>
      <c r="E516" s="49">
        <v>0</v>
      </c>
      <c r="F516" s="590">
        <f>IF(YEAR(Postup!$H$25)&gt;$D$494,Provozování!AS31,IF(AND(DAY(Postup!$H$25)=31,MONTH(Postup!$H$25)=12,YEAR(Postup!$H$25)=$D$494),Provozování!AS31,IF(YEAR(Postup!$H$25)=$D$494,Provozování!$BL31,0)))</f>
        <v>0</v>
      </c>
      <c r="G516" s="49">
        <v>0</v>
      </c>
      <c r="H516" s="590">
        <f>IF(YEAR(Postup!$H$25)&gt;$D$494,Provozování!AT31,IF(AND(DAY(Postup!$H$25)=31,MONTH(Postup!$H$25)=12,YEAR(Postup!$H$25)=$D$494),Provozování!AT31,IF(YEAR(Postup!$H$25)=$D$494,Provozování!$BM31,0)))</f>
        <v>0</v>
      </c>
      <c r="K516" s="12" t="s">
        <v>27</v>
      </c>
      <c r="L516" s="13" t="s">
        <v>28</v>
      </c>
      <c r="M516" s="3" t="s">
        <v>10</v>
      </c>
      <c r="N516" s="49">
        <v>0</v>
      </c>
      <c r="O516" s="443">
        <f>IF(Provozování!$AU$16="Neaktivní",0,Provozování!AU31)</f>
        <v>0</v>
      </c>
      <c r="P516" s="49">
        <v>0</v>
      </c>
      <c r="Q516" s="443">
        <f>IF(Provozování!$AU$16="Neaktivní",0,Provozování!AV31)</f>
        <v>0</v>
      </c>
      <c r="T516" s="12" t="s">
        <v>27</v>
      </c>
      <c r="U516" s="13" t="s">
        <v>28</v>
      </c>
      <c r="V516" s="3" t="s">
        <v>10</v>
      </c>
      <c r="W516" s="595">
        <v>0</v>
      </c>
      <c r="X516" s="49">
        <f>IF(Provozování!$AU$16="Neaktivní",F516,F516*Výpočty!$O$58+O516)</f>
        <v>0</v>
      </c>
      <c r="Y516" s="49">
        <f t="shared" ref="Y516:Y517" si="215">W516-X516</f>
        <v>0</v>
      </c>
      <c r="Z516" s="595">
        <v>0</v>
      </c>
      <c r="AA516" s="49">
        <f>IF(Provozování!$AP$16="Neaktivní",H516,H516*Výpočty!$N$58+Q516)</f>
        <v>0</v>
      </c>
      <c r="AB516" s="32">
        <f t="shared" ref="AB516:AB517" si="216">Z516-AA516</f>
        <v>0</v>
      </c>
      <c r="AC516" s="183"/>
      <c r="AD516" s="183"/>
      <c r="AK516" s="183"/>
      <c r="AL516" s="183"/>
      <c r="AM516" s="183"/>
      <c r="AN516" s="183"/>
    </row>
    <row r="517" spans="2:40" x14ac:dyDescent="0.25">
      <c r="B517" s="12" t="s">
        <v>29</v>
      </c>
      <c r="C517" s="13" t="s">
        <v>30</v>
      </c>
      <c r="D517" s="3" t="s">
        <v>10</v>
      </c>
      <c r="E517" s="49">
        <v>0</v>
      </c>
      <c r="F517" s="590">
        <f>IF(YEAR(Postup!$H$25)&gt;$D$494,Provozování!AS32,IF(AND(DAY(Postup!$H$25)=31,MONTH(Postup!$H$25)=12,YEAR(Postup!$H$25)=$D$494),Provozování!AS32,IF(YEAR(Postup!$H$25)=$D$494,Provozování!$BL32,0)))</f>
        <v>0</v>
      </c>
      <c r="G517" s="49">
        <v>0</v>
      </c>
      <c r="H517" s="590">
        <f>IF(YEAR(Postup!$H$25)&gt;$D$494,Provozování!AT32,IF(AND(DAY(Postup!$H$25)=31,MONTH(Postup!$H$25)=12,YEAR(Postup!$H$25)=$D$494),Provozování!AT32,IF(YEAR(Postup!$H$25)=$D$494,Provozování!$BM32,0)))</f>
        <v>0</v>
      </c>
      <c r="K517" s="12" t="s">
        <v>29</v>
      </c>
      <c r="L517" s="13" t="s">
        <v>30</v>
      </c>
      <c r="M517" s="3" t="s">
        <v>10</v>
      </c>
      <c r="N517" s="49">
        <v>0</v>
      </c>
      <c r="O517" s="443">
        <f>IF(Provozování!$AU$16="Neaktivní",0,Provozování!AU32)</f>
        <v>0</v>
      </c>
      <c r="P517" s="49">
        <v>0</v>
      </c>
      <c r="Q517" s="443">
        <f>IF(Provozování!$AU$16="Neaktivní",0,Provozování!AV32)</f>
        <v>0</v>
      </c>
      <c r="T517" s="12" t="s">
        <v>29</v>
      </c>
      <c r="U517" s="13" t="s">
        <v>30</v>
      </c>
      <c r="V517" s="3" t="s">
        <v>10</v>
      </c>
      <c r="W517" s="595">
        <v>0</v>
      </c>
      <c r="X517" s="49">
        <f>IF(Provozování!$AU$16="Neaktivní",F517,F517*Výpočty!$O$58+O517)</f>
        <v>0</v>
      </c>
      <c r="Y517" s="49">
        <f t="shared" si="215"/>
        <v>0</v>
      </c>
      <c r="Z517" s="595">
        <v>0</v>
      </c>
      <c r="AA517" s="49">
        <f>IF(Provozování!$AP$16="Neaktivní",H517,H517*Výpočty!$N$58+Q517)</f>
        <v>0</v>
      </c>
      <c r="AB517" s="32">
        <f t="shared" si="216"/>
        <v>0</v>
      </c>
      <c r="AC517" s="183"/>
      <c r="AD517" s="183"/>
      <c r="AK517" s="183"/>
      <c r="AL517" s="183"/>
      <c r="AM517" s="183"/>
      <c r="AN517" s="183"/>
    </row>
    <row r="518" spans="2:40" x14ac:dyDescent="0.25">
      <c r="B518" s="9" t="s">
        <v>31</v>
      </c>
      <c r="C518" s="10" t="s">
        <v>32</v>
      </c>
      <c r="D518" s="11" t="s">
        <v>10</v>
      </c>
      <c r="E518" s="46">
        <f>SUM(E519:E522)</f>
        <v>0</v>
      </c>
      <c r="F518" s="46">
        <f>SUM(F519:F522)</f>
        <v>0</v>
      </c>
      <c r="G518" s="46">
        <f>SUM(G519:G522)</f>
        <v>0</v>
      </c>
      <c r="H518" s="98">
        <f>SUM(H519:H522)</f>
        <v>0</v>
      </c>
      <c r="K518" s="9" t="s">
        <v>31</v>
      </c>
      <c r="L518" s="10" t="s">
        <v>32</v>
      </c>
      <c r="M518" s="11" t="s">
        <v>10</v>
      </c>
      <c r="N518" s="46">
        <f>SUM(N519:N522)</f>
        <v>0</v>
      </c>
      <c r="O518" s="46">
        <f>SUM(O519:O522)</f>
        <v>0</v>
      </c>
      <c r="P518" s="46">
        <f>SUM(P519:P522)</f>
        <v>0</v>
      </c>
      <c r="Q518" s="98">
        <f>SUM(Q519:Q522)</f>
        <v>0</v>
      </c>
      <c r="T518" s="9" t="s">
        <v>31</v>
      </c>
      <c r="U518" s="10" t="s">
        <v>32</v>
      </c>
      <c r="V518" s="11" t="s">
        <v>10</v>
      </c>
      <c r="W518" s="98">
        <f t="shared" ref="W518:AB518" si="217">SUM(W519:W522)</f>
        <v>0</v>
      </c>
      <c r="X518" s="98">
        <f t="shared" si="217"/>
        <v>0</v>
      </c>
      <c r="Y518" s="98">
        <f t="shared" si="217"/>
        <v>0</v>
      </c>
      <c r="Z518" s="98">
        <f t="shared" si="217"/>
        <v>0</v>
      </c>
      <c r="AA518" s="98">
        <f t="shared" si="217"/>
        <v>0</v>
      </c>
      <c r="AB518" s="98">
        <f t="shared" si="217"/>
        <v>0</v>
      </c>
      <c r="AC518" s="183"/>
      <c r="AD518" s="183"/>
      <c r="AK518" s="183"/>
      <c r="AL518" s="183"/>
      <c r="AM518" s="183"/>
      <c r="AN518" s="183"/>
    </row>
    <row r="519" spans="2:40" x14ac:dyDescent="0.25">
      <c r="B519" s="12" t="s">
        <v>33</v>
      </c>
      <c r="C519" s="21" t="s">
        <v>34</v>
      </c>
      <c r="D519" s="3" t="s">
        <v>10</v>
      </c>
      <c r="E519" s="49">
        <v>0</v>
      </c>
      <c r="F519" s="49">
        <f>IF(YEAR(Postup!$H$25)&gt;$D$494,Provozování!AS34,IF(AND(DAY(Postup!$H$25)=31,MONTH(Postup!$H$25)=12,YEAR(Postup!$H$25)=$D$494),Provozování!AS34,IF(YEAR(Postup!$H$25)=$D$494,Provozování!$BL34,0)))</f>
        <v>0</v>
      </c>
      <c r="G519" s="49">
        <v>0</v>
      </c>
      <c r="H519" s="32">
        <f>IF(YEAR(Postup!$H$25)&gt;$D$494,Provozování!AT34,IF(AND(DAY(Postup!$H$25)=31,MONTH(Postup!$H$25)=12,YEAR(Postup!$H$25)=$D$494),Provozování!AT34,IF(YEAR(Postup!$H$25)=$D$494,Provozování!$BM34,0)))</f>
        <v>0</v>
      </c>
      <c r="K519" s="12" t="s">
        <v>33</v>
      </c>
      <c r="L519" s="21" t="s">
        <v>34</v>
      </c>
      <c r="M519" s="3" t="s">
        <v>10</v>
      </c>
      <c r="N519" s="49">
        <v>0</v>
      </c>
      <c r="O519" s="49">
        <f>IF(Provozování!$AU$16="Neaktivní",0,Provozování!AU34)</f>
        <v>0</v>
      </c>
      <c r="P519" s="49">
        <v>0</v>
      </c>
      <c r="Q519" s="59">
        <f>IF(Provozování!$AU$16="Neaktivní",0,Provozování!AV34)</f>
        <v>0</v>
      </c>
      <c r="T519" s="12" t="s">
        <v>33</v>
      </c>
      <c r="U519" s="21" t="s">
        <v>34</v>
      </c>
      <c r="V519" s="3" t="s">
        <v>10</v>
      </c>
      <c r="W519" s="595">
        <v>0</v>
      </c>
      <c r="X519" s="49">
        <f>IF(Provozování!$AU$16="Neaktivní",F519,F519*Výpočty!$O$58+O519)</f>
        <v>0</v>
      </c>
      <c r="Y519" s="49">
        <f t="shared" ref="Y519:Y521" si="218">W519-X519</f>
        <v>0</v>
      </c>
      <c r="Z519" s="595">
        <v>0</v>
      </c>
      <c r="AA519" s="49">
        <f>IF(Provozování!$AU$16="Neaktivní",H519,H519*Výpočty!$O$58+Q519)</f>
        <v>0</v>
      </c>
      <c r="AB519" s="32">
        <f t="shared" ref="AB519:AB521" si="219">Z519-AA519</f>
        <v>0</v>
      </c>
      <c r="AC519" s="183"/>
      <c r="AD519" s="183"/>
      <c r="AK519" s="183"/>
      <c r="AL519" s="183"/>
      <c r="AM519" s="183"/>
      <c r="AN519" s="183"/>
    </row>
    <row r="520" spans="2:40" x14ac:dyDescent="0.25">
      <c r="B520" s="12" t="s">
        <v>35</v>
      </c>
      <c r="C520" s="13" t="s">
        <v>36</v>
      </c>
      <c r="D520" s="3" t="s">
        <v>10</v>
      </c>
      <c r="E520" s="49">
        <v>0</v>
      </c>
      <c r="F520" s="589">
        <f>IF(YEAR(Postup!$H$25)&gt;$D$494,Provozování!AS35,IF(AND(DAY(Postup!$H$25)=31,MONTH(Postup!$H$25)=12,YEAR(Postup!$H$25)=$D$494),Provozování!AS35,IF(YEAR(Postup!$H$25)=$D$494,Provozování!$BL35,0)))</f>
        <v>0</v>
      </c>
      <c r="G520" s="49">
        <v>0</v>
      </c>
      <c r="H520" s="590">
        <f>IF(YEAR(Postup!$H$25)&gt;$D$494,Provozování!AT35,IF(AND(DAY(Postup!$H$25)=31,MONTH(Postup!$H$25)=12,YEAR(Postup!$H$25)=$D$494),Provozování!AT35,IF(YEAR(Postup!$H$25)=$D$494,Provozování!$BM35,0)))</f>
        <v>0</v>
      </c>
      <c r="K520" s="12" t="s">
        <v>35</v>
      </c>
      <c r="L520" s="13" t="s">
        <v>36</v>
      </c>
      <c r="M520" s="3" t="s">
        <v>10</v>
      </c>
      <c r="N520" s="49">
        <v>0</v>
      </c>
      <c r="O520" s="444">
        <f>IF(Provozování!$AU$16="Neaktivní",0,Provozování!AU35)</f>
        <v>0</v>
      </c>
      <c r="P520" s="49">
        <v>0</v>
      </c>
      <c r="Q520" s="450">
        <f>IF(Provozování!$AU$16="Neaktivní",0,Provozování!AV35)</f>
        <v>0</v>
      </c>
      <c r="T520" s="12" t="s">
        <v>35</v>
      </c>
      <c r="U520" s="13" t="s">
        <v>36</v>
      </c>
      <c r="V520" s="3" t="s">
        <v>10</v>
      </c>
      <c r="W520" s="595">
        <v>0</v>
      </c>
      <c r="X520" s="49">
        <f>IF(Provozování!$AU$16="Neaktivní",F520,F520*Výpočty!$O$58+O520)</f>
        <v>0</v>
      </c>
      <c r="Y520" s="49">
        <f t="shared" si="218"/>
        <v>0</v>
      </c>
      <c r="Z520" s="595">
        <v>0</v>
      </c>
      <c r="AA520" s="49">
        <f>IF(Provozování!$AU$16="Neaktivní",H520,H520*Výpočty!$O$58+Q520)</f>
        <v>0</v>
      </c>
      <c r="AB520" s="32">
        <f t="shared" si="219"/>
        <v>0</v>
      </c>
      <c r="AC520" s="183"/>
      <c r="AD520" s="183"/>
      <c r="AK520" s="183"/>
      <c r="AL520" s="183"/>
      <c r="AM520" s="183"/>
      <c r="AN520" s="183"/>
    </row>
    <row r="521" spans="2:40" x14ac:dyDescent="0.25">
      <c r="B521" s="12" t="s">
        <v>37</v>
      </c>
      <c r="C521" s="13" t="s">
        <v>38</v>
      </c>
      <c r="D521" s="3" t="s">
        <v>10</v>
      </c>
      <c r="E521" s="49">
        <v>0</v>
      </c>
      <c r="F521" s="49">
        <f>IF(YEAR(Postup!$H$25)&gt;$D$494,Provozování!AS36,IF(AND(DAY(Postup!$H$25)=31,MONTH(Postup!$H$25)=12,YEAR(Postup!$H$25)=$D$494),Provozování!AS36,IF(YEAR(Postup!$H$25)=$D$494,Provozování!$BL36,0)))</f>
        <v>0</v>
      </c>
      <c r="G521" s="49">
        <v>0</v>
      </c>
      <c r="H521" s="32">
        <f>IF(YEAR(Postup!$H$25)&gt;$D$494,Provozování!AT36,IF(AND(DAY(Postup!$H$25)=31,MONTH(Postup!$H$25)=12,YEAR(Postup!$H$25)=$D$494),Provozování!AT36,IF(YEAR(Postup!$H$25)=$D$494,Provozování!$BM36,0)))</f>
        <v>0</v>
      </c>
      <c r="K521" s="12" t="s">
        <v>37</v>
      </c>
      <c r="L521" s="13" t="s">
        <v>38</v>
      </c>
      <c r="M521" s="3" t="s">
        <v>10</v>
      </c>
      <c r="N521" s="49">
        <v>0</v>
      </c>
      <c r="O521" s="49">
        <f>IF(Provozování!$AU$16="Neaktivní",0,Provozování!AU36)</f>
        <v>0</v>
      </c>
      <c r="P521" s="49">
        <v>0</v>
      </c>
      <c r="Q521" s="59">
        <f>IF(Provozování!$AU$16="Neaktivní",0,Provozování!AV36)</f>
        <v>0</v>
      </c>
      <c r="T521" s="12" t="s">
        <v>37</v>
      </c>
      <c r="U521" s="13" t="s">
        <v>38</v>
      </c>
      <c r="V521" s="3" t="s">
        <v>10</v>
      </c>
      <c r="W521" s="595">
        <v>0</v>
      </c>
      <c r="X521" s="49">
        <f>IF(Provozování!$AU$16="Neaktivní",F521,F521*Výpočty!$O$58+O521)</f>
        <v>0</v>
      </c>
      <c r="Y521" s="49">
        <f t="shared" si="218"/>
        <v>0</v>
      </c>
      <c r="Z521" s="595">
        <v>0</v>
      </c>
      <c r="AA521" s="49">
        <f>IF(Provozování!$AU$16="Neaktivní",H521,H521*Výpočty!$O$58+Q521)</f>
        <v>0</v>
      </c>
      <c r="AB521" s="32">
        <f t="shared" si="219"/>
        <v>0</v>
      </c>
      <c r="AC521" s="183"/>
      <c r="AD521" s="183"/>
      <c r="AK521" s="183"/>
      <c r="AL521" s="183"/>
      <c r="AM521" s="183"/>
      <c r="AN521" s="183"/>
    </row>
    <row r="522" spans="2:40" x14ac:dyDescent="0.25">
      <c r="B522" s="12" t="s">
        <v>39</v>
      </c>
      <c r="C522" s="21" t="s">
        <v>40</v>
      </c>
      <c r="D522" s="3" t="s">
        <v>10</v>
      </c>
      <c r="E522" s="49">
        <v>0</v>
      </c>
      <c r="F522" s="445">
        <v>0</v>
      </c>
      <c r="G522" s="49">
        <v>0</v>
      </c>
      <c r="H522" s="442">
        <v>0</v>
      </c>
      <c r="K522" s="12" t="s">
        <v>39</v>
      </c>
      <c r="L522" s="21" t="s">
        <v>40</v>
      </c>
      <c r="M522" s="3" t="s">
        <v>10</v>
      </c>
      <c r="N522" s="49">
        <v>0</v>
      </c>
      <c r="O522" s="445">
        <v>0</v>
      </c>
      <c r="P522" s="49">
        <v>0</v>
      </c>
      <c r="Q522" s="442">
        <v>0</v>
      </c>
      <c r="T522" s="12" t="s">
        <v>39</v>
      </c>
      <c r="U522" s="21" t="s">
        <v>40</v>
      </c>
      <c r="V522" s="3" t="s">
        <v>10</v>
      </c>
      <c r="W522" s="445">
        <v>0</v>
      </c>
      <c r="X522" s="445">
        <v>0</v>
      </c>
      <c r="Y522" s="445">
        <v>0</v>
      </c>
      <c r="Z522" s="445">
        <v>0</v>
      </c>
      <c r="AA522" s="445">
        <v>0</v>
      </c>
      <c r="AB522" s="442">
        <v>0</v>
      </c>
      <c r="AC522" s="183"/>
      <c r="AD522" s="183"/>
      <c r="AK522" s="183"/>
      <c r="AL522" s="183"/>
      <c r="AM522" s="183"/>
      <c r="AN522" s="183"/>
    </row>
    <row r="523" spans="2:40" x14ac:dyDescent="0.25">
      <c r="B523" s="9" t="s">
        <v>41</v>
      </c>
      <c r="C523" s="10" t="s">
        <v>42</v>
      </c>
      <c r="D523" s="11" t="s">
        <v>10</v>
      </c>
      <c r="E523" s="46">
        <f>SUM(E524:E526)</f>
        <v>0</v>
      </c>
      <c r="F523" s="46">
        <f>SUM(F524:F526)</f>
        <v>0</v>
      </c>
      <c r="G523" s="46">
        <f>SUM(G524:G526)</f>
        <v>0</v>
      </c>
      <c r="H523" s="98">
        <f>SUM(H524:H526)</f>
        <v>0</v>
      </c>
      <c r="K523" s="9" t="s">
        <v>41</v>
      </c>
      <c r="L523" s="10" t="s">
        <v>42</v>
      </c>
      <c r="M523" s="11" t="s">
        <v>10</v>
      </c>
      <c r="N523" s="46">
        <f>SUM(N524:N526)</f>
        <v>0</v>
      </c>
      <c r="O523" s="46">
        <f>SUM(O524:O526)</f>
        <v>0</v>
      </c>
      <c r="P523" s="46">
        <f>SUM(P524:P526)</f>
        <v>0</v>
      </c>
      <c r="Q523" s="98">
        <f>SUM(Q524:Q526)</f>
        <v>0</v>
      </c>
      <c r="T523" s="9" t="s">
        <v>41</v>
      </c>
      <c r="U523" s="10" t="s">
        <v>42</v>
      </c>
      <c r="V523" s="11" t="s">
        <v>10</v>
      </c>
      <c r="W523" s="98">
        <f t="shared" ref="W523:AB523" si="220">SUM(W524:W526)</f>
        <v>0</v>
      </c>
      <c r="X523" s="98">
        <f t="shared" si="220"/>
        <v>0</v>
      </c>
      <c r="Y523" s="98">
        <f t="shared" si="220"/>
        <v>0</v>
      </c>
      <c r="Z523" s="98">
        <f t="shared" si="220"/>
        <v>0</v>
      </c>
      <c r="AA523" s="98">
        <f t="shared" si="220"/>
        <v>0</v>
      </c>
      <c r="AB523" s="98">
        <f t="shared" si="220"/>
        <v>0</v>
      </c>
      <c r="AC523" s="183"/>
      <c r="AD523" s="183"/>
      <c r="AK523" s="183"/>
      <c r="AL523" s="183"/>
      <c r="AM523" s="183"/>
      <c r="AN523" s="183"/>
    </row>
    <row r="524" spans="2:40" x14ac:dyDescent="0.25">
      <c r="B524" s="12" t="s">
        <v>43</v>
      </c>
      <c r="C524" s="13" t="s">
        <v>44</v>
      </c>
      <c r="D524" s="3" t="s">
        <v>10</v>
      </c>
      <c r="E524" s="49">
        <v>0</v>
      </c>
      <c r="F524" s="445">
        <v>0</v>
      </c>
      <c r="G524" s="49">
        <v>0</v>
      </c>
      <c r="H524" s="32">
        <f>IF(YEAR(Postup!$H$25)&gt;$D$494,Provozování!AT39,IF(AND(DAY(Postup!$H$25)=31,MONTH(Postup!$H$25)=12,YEAR(Postup!$H$25)=$D$494),Provozování!AT39,IF(YEAR(Postup!$H$25)=$D$494,Provozování!$BM39,0)))</f>
        <v>0</v>
      </c>
      <c r="K524" s="12" t="s">
        <v>43</v>
      </c>
      <c r="L524" s="13" t="s">
        <v>44</v>
      </c>
      <c r="M524" s="3" t="s">
        <v>10</v>
      </c>
      <c r="N524" s="49">
        <v>0</v>
      </c>
      <c r="O524" s="445">
        <v>0</v>
      </c>
      <c r="P524" s="49">
        <v>0</v>
      </c>
      <c r="Q524" s="59">
        <f>IF(Provozování!$AU$16="Neaktivní",0,Provozování!AV39)</f>
        <v>0</v>
      </c>
      <c r="T524" s="12" t="s">
        <v>43</v>
      </c>
      <c r="U524" s="13" t="s">
        <v>44</v>
      </c>
      <c r="V524" s="3" t="s">
        <v>10</v>
      </c>
      <c r="W524" s="445">
        <v>0</v>
      </c>
      <c r="X524" s="445">
        <v>0</v>
      </c>
      <c r="Y524" s="445">
        <v>0</v>
      </c>
      <c r="Z524" s="595">
        <v>0</v>
      </c>
      <c r="AA524" s="49">
        <f>IF(Provozování!$AU$16="Neaktivní",H524,H524*Výpočty!$O$58+Q524)</f>
        <v>0</v>
      </c>
      <c r="AB524" s="32">
        <f t="shared" ref="AB524:AB527" si="221">Z524-AA524</f>
        <v>0</v>
      </c>
      <c r="AC524" s="183"/>
      <c r="AD524" s="183"/>
      <c r="AE524" s="951" t="s">
        <v>362</v>
      </c>
      <c r="AF524" s="952"/>
      <c r="AG524" s="447">
        <f>Y504</f>
        <v>2027</v>
      </c>
      <c r="AH524" s="447">
        <f>AG524</f>
        <v>2027</v>
      </c>
      <c r="AK524" s="183"/>
      <c r="AL524" s="183"/>
      <c r="AM524" s="183"/>
      <c r="AN524" s="183"/>
    </row>
    <row r="525" spans="2:40" x14ac:dyDescent="0.25">
      <c r="B525" s="12" t="s">
        <v>45</v>
      </c>
      <c r="C525" s="12" t="s">
        <v>46</v>
      </c>
      <c r="D525" s="3" t="s">
        <v>10</v>
      </c>
      <c r="E525" s="49">
        <v>0</v>
      </c>
      <c r="F525" s="590">
        <f>IF(YEAR(Postup!$H$25)&gt;$D$494,Provozování!AS40,IF(AND(DAY(Postup!$H$25)=31,MONTH(Postup!$H$25)=12,YEAR(Postup!$H$25)=$D$494),Provozování!AS40,IF(YEAR(Postup!$H$25)=$D$494,Provozování!$BL40,0)))</f>
        <v>0</v>
      </c>
      <c r="G525" s="49">
        <v>0</v>
      </c>
      <c r="H525" s="590">
        <f>IF(YEAR(Postup!$H$25)&gt;$D$494,Provozování!AT40,IF(AND(DAY(Postup!$H$25)=31,MONTH(Postup!$H$25)=12,YEAR(Postup!$H$25)=$D$494),Provozování!AT40,IF(YEAR(Postup!$H$25)=$D$494,Provozování!$BM40,0)))</f>
        <v>0</v>
      </c>
      <c r="K525" s="12" t="s">
        <v>45</v>
      </c>
      <c r="L525" s="12" t="s">
        <v>46</v>
      </c>
      <c r="M525" s="3" t="s">
        <v>10</v>
      </c>
      <c r="N525" s="49">
        <v>0</v>
      </c>
      <c r="O525" s="443">
        <f>IF(Provozování!$AU$16="Neaktivní",0,Provozování!AU40)</f>
        <v>0</v>
      </c>
      <c r="P525" s="49">
        <v>0</v>
      </c>
      <c r="Q525" s="443">
        <f>IF(Provozování!$AU$16="Neaktivní",0,Provozování!AV40)</f>
        <v>0</v>
      </c>
      <c r="T525" s="12" t="s">
        <v>45</v>
      </c>
      <c r="U525" s="12" t="s">
        <v>46</v>
      </c>
      <c r="V525" s="3" t="s">
        <v>10</v>
      </c>
      <c r="W525" s="595">
        <v>0</v>
      </c>
      <c r="X525" s="49">
        <f>IF(Provozování!$AU$16="Neaktivní",F525,F525*Výpočty!$O$58+O525)</f>
        <v>0</v>
      </c>
      <c r="Y525" s="49">
        <f t="shared" ref="Y525:Y527" si="222">W525-X525</f>
        <v>0</v>
      </c>
      <c r="Z525" s="595">
        <v>0</v>
      </c>
      <c r="AA525" s="49">
        <f>IF(Provozování!$AU$16="Neaktivní",H525,H525*Výpočty!$O$58+Q525)</f>
        <v>0</v>
      </c>
      <c r="AB525" s="32">
        <f t="shared" si="221"/>
        <v>0</v>
      </c>
      <c r="AC525" s="183"/>
      <c r="AD525" s="183"/>
      <c r="AE525" s="953"/>
      <c r="AF525" s="954"/>
      <c r="AG525" s="957" t="s">
        <v>299</v>
      </c>
      <c r="AH525" s="957" t="s">
        <v>300</v>
      </c>
      <c r="AK525" s="183"/>
      <c r="AL525" s="183"/>
      <c r="AM525" s="183"/>
      <c r="AN525" s="183"/>
    </row>
    <row r="526" spans="2:40" x14ac:dyDescent="0.25">
      <c r="B526" s="12" t="s">
        <v>47</v>
      </c>
      <c r="C526" s="13" t="s">
        <v>48</v>
      </c>
      <c r="D526" s="3" t="s">
        <v>10</v>
      </c>
      <c r="E526" s="49">
        <v>0</v>
      </c>
      <c r="F526" s="590">
        <f>IF(YEAR(Postup!$H$25)&gt;$D$494,Provozování!AS41,IF(AND(DAY(Postup!$H$25)=31,MONTH(Postup!$H$25)=12,YEAR(Postup!$H$25)=$D$494),Provozování!AS41,IF(YEAR(Postup!$H$25)=$D$494,Provozování!$BL41,0)))</f>
        <v>0</v>
      </c>
      <c r="G526" s="49">
        <v>0</v>
      </c>
      <c r="H526" s="590">
        <f>IF(YEAR(Postup!$H$25)&gt;$D$494,Provozování!AT41,IF(AND(DAY(Postup!$H$25)=31,MONTH(Postup!$H$25)=12,YEAR(Postup!$H$25)=$D$494),Provozování!AT41,IF(YEAR(Postup!$H$25)=$D$494,Provozování!$BM41,0)))</f>
        <v>0</v>
      </c>
      <c r="K526" s="12" t="s">
        <v>47</v>
      </c>
      <c r="L526" s="13" t="s">
        <v>48</v>
      </c>
      <c r="M526" s="3" t="s">
        <v>10</v>
      </c>
      <c r="N526" s="49">
        <v>0</v>
      </c>
      <c r="O526" s="443">
        <f>IF(Provozování!$AU$16="Neaktivní",0,Provozování!AU41)</f>
        <v>0</v>
      </c>
      <c r="P526" s="49">
        <v>0</v>
      </c>
      <c r="Q526" s="443">
        <f>IF(Provozování!$AU$16="Neaktivní",0,Provozování!AV41)</f>
        <v>0</v>
      </c>
      <c r="T526" s="12" t="s">
        <v>47</v>
      </c>
      <c r="U526" s="13" t="s">
        <v>48</v>
      </c>
      <c r="V526" s="3" t="s">
        <v>10</v>
      </c>
      <c r="W526" s="595">
        <v>0</v>
      </c>
      <c r="X526" s="49">
        <f>IF(Provozování!$AU$16="Neaktivní",F526,F526*Výpočty!$O$58+O526)</f>
        <v>0</v>
      </c>
      <c r="Y526" s="49">
        <f t="shared" si="222"/>
        <v>0</v>
      </c>
      <c r="Z526" s="595">
        <v>0</v>
      </c>
      <c r="AA526" s="49">
        <f>IF(Provozování!$AU$16="Neaktivní",H526,H526*Výpočty!$O$58+Q526)</f>
        <v>0</v>
      </c>
      <c r="AB526" s="32">
        <f t="shared" si="221"/>
        <v>0</v>
      </c>
      <c r="AC526" s="183"/>
      <c r="AD526" s="183"/>
      <c r="AE526" s="955"/>
      <c r="AF526" s="956"/>
      <c r="AG526" s="958"/>
      <c r="AH526" s="958"/>
      <c r="AK526" s="183"/>
      <c r="AL526" s="183"/>
      <c r="AM526" s="183"/>
      <c r="AN526" s="183"/>
    </row>
    <row r="527" spans="2:40" x14ac:dyDescent="0.25">
      <c r="B527" s="9" t="s">
        <v>49</v>
      </c>
      <c r="C527" s="10" t="s">
        <v>50</v>
      </c>
      <c r="D527" s="11" t="s">
        <v>10</v>
      </c>
      <c r="E527" s="49">
        <v>0</v>
      </c>
      <c r="F527" s="589">
        <f>IF(YEAR(Postup!$H$25)&gt;$D$494,Provozování!AS42,IF(AND(DAY(Postup!$H$25)=31,MONTH(Postup!$H$25)=12,YEAR(Postup!$H$25)=$D$494),Provozování!AS42,IF(YEAR(Postup!$H$25)=$D$494,Provozování!$BL42,0)))</f>
        <v>0</v>
      </c>
      <c r="G527" s="49">
        <v>0</v>
      </c>
      <c r="H527" s="590">
        <f>IF(YEAR(Postup!$H$25)&gt;$D$494,Provozování!AT42,IF(AND(DAY(Postup!$H$25)=31,MONTH(Postup!$H$25)=12,YEAR(Postup!$H$25)=$D$494),Provozování!AT42,IF(YEAR(Postup!$H$25)=$D$494,Provozování!$BM42,0)))</f>
        <v>0</v>
      </c>
      <c r="K527" s="9" t="s">
        <v>49</v>
      </c>
      <c r="L527" s="10" t="s">
        <v>50</v>
      </c>
      <c r="M527" s="11" t="s">
        <v>10</v>
      </c>
      <c r="N527" s="49">
        <v>0</v>
      </c>
      <c r="O527" s="444">
        <f>IF(Provozování!$AU$16="Neaktivní",0,Provozování!AU42)</f>
        <v>0</v>
      </c>
      <c r="P527" s="49">
        <v>0</v>
      </c>
      <c r="Q527" s="450">
        <f>IF(Provozování!$AU$16="Neaktivní",0,Provozování!AV42)</f>
        <v>0</v>
      </c>
      <c r="T527" s="9" t="s">
        <v>49</v>
      </c>
      <c r="U527" s="10" t="s">
        <v>50</v>
      </c>
      <c r="V527" s="11" t="s">
        <v>10</v>
      </c>
      <c r="W527" s="595">
        <v>0</v>
      </c>
      <c r="X527" s="49">
        <f>IF(Provozování!$AU$16="Neaktivní",F527,F527*Výpočty!$O$58+O527)</f>
        <v>0</v>
      </c>
      <c r="Y527" s="49">
        <f t="shared" si="222"/>
        <v>0</v>
      </c>
      <c r="Z527" s="595">
        <v>0</v>
      </c>
      <c r="AA527" s="49">
        <f>IF(Provozování!$AU$16="Neaktivní",H527,H527*Výpočty!$O$58+Q527)</f>
        <v>0</v>
      </c>
      <c r="AB527" s="32">
        <f t="shared" si="221"/>
        <v>0</v>
      </c>
      <c r="AC527" s="183"/>
      <c r="AD527" s="183"/>
      <c r="AE527" s="12" t="s">
        <v>405</v>
      </c>
      <c r="AF527" s="12" t="s">
        <v>408</v>
      </c>
      <c r="AG527" s="542">
        <f>Z555</f>
        <v>0</v>
      </c>
      <c r="AH527" s="542">
        <f>AB555</f>
        <v>0</v>
      </c>
      <c r="AK527" s="183"/>
      <c r="AL527" s="183"/>
      <c r="AM527" s="183"/>
      <c r="AN527" s="183"/>
    </row>
    <row r="528" spans="2:40" x14ac:dyDescent="0.25">
      <c r="B528" s="9" t="s">
        <v>51</v>
      </c>
      <c r="C528" s="10" t="s">
        <v>52</v>
      </c>
      <c r="D528" s="11" t="s">
        <v>10</v>
      </c>
      <c r="E528" s="49">
        <v>0</v>
      </c>
      <c r="F528" s="589">
        <f>IF(YEAR(Postup!$H$25)&gt;$D$494,Provozování!AS43-Provozování!AS97,IF(AND(DAY(Postup!$H$25)=31,MONTH(Postup!$H$25)=12,YEAR(Postup!$H$25)=$D$494),Provozování!AS43-Provozování!AS97,IF(YEAR(Postup!$H$25)=$D$494,Provozování!$BL43-Provozování!AS97,0)))</f>
        <v>0</v>
      </c>
      <c r="G528" s="49">
        <v>0</v>
      </c>
      <c r="H528" s="590">
        <f>IF(YEAR(Postup!$H$25)&gt;$D$494,Provozování!AT43-Provozování!AT97,IF(AND(DAY(Postup!$H$25)=31,MONTH(Postup!$H$25)=12,YEAR(Postup!$H$25)=$D$494),Provozování!AT43-Provozování!AT97,IF(YEAR(Postup!$H$25)=$D$494,Provozování!$BM43-Provozování!AT97,0)))</f>
        <v>0</v>
      </c>
      <c r="K528" s="9" t="s">
        <v>51</v>
      </c>
      <c r="L528" s="10" t="s">
        <v>52</v>
      </c>
      <c r="M528" s="11" t="s">
        <v>10</v>
      </c>
      <c r="N528" s="49">
        <v>0</v>
      </c>
      <c r="O528" s="444">
        <f>IF(Provozování!$AU$16="Neaktivní",0,Provozování!AU43-Provozování!AS97*Výpočty!O53)</f>
        <v>0</v>
      </c>
      <c r="P528" s="49">
        <v>0</v>
      </c>
      <c r="Q528" s="450">
        <f>IF(Provozování!$AU$16="Neaktivní",0,Provozování!AV43-Provozování!AT97*Výpočty!O53)</f>
        <v>0</v>
      </c>
      <c r="T528" s="9" t="s">
        <v>51</v>
      </c>
      <c r="U528" s="10" t="s">
        <v>52</v>
      </c>
      <c r="V528" s="11" t="s">
        <v>10</v>
      </c>
      <c r="W528" s="595">
        <v>0</v>
      </c>
      <c r="X528" s="49">
        <f>IF(Provozování!$AU$16="Neaktivní",F528,F528*Výpočty!$O$58+O528)</f>
        <v>0</v>
      </c>
      <c r="Y528" s="49">
        <f>ABS(W528)-ABS(X528)</f>
        <v>0</v>
      </c>
      <c r="Z528" s="595">
        <v>0</v>
      </c>
      <c r="AA528" s="49">
        <f>IF(Provozování!$AU$16="Neaktivní",H528,H528*Výpočty!$O$58+Q528)</f>
        <v>0</v>
      </c>
      <c r="AB528" s="32">
        <f>ABS(Z528)-ABS(AA528)</f>
        <v>0</v>
      </c>
      <c r="AC528" s="183"/>
      <c r="AD528" s="183"/>
      <c r="AE528" s="12" t="s">
        <v>406</v>
      </c>
      <c r="AF528" s="13" t="s">
        <v>410</v>
      </c>
      <c r="AG528" s="360">
        <f>Y554</f>
        <v>0</v>
      </c>
      <c r="AH528" s="360">
        <f>AA554</f>
        <v>0</v>
      </c>
      <c r="AK528" s="183"/>
      <c r="AL528" s="183"/>
      <c r="AM528" s="183"/>
      <c r="AN528" s="183"/>
    </row>
    <row r="529" spans="2:40" x14ac:dyDescent="0.25">
      <c r="B529" s="9" t="s">
        <v>53</v>
      </c>
      <c r="C529" s="10" t="s">
        <v>54</v>
      </c>
      <c r="D529" s="11" t="s">
        <v>10</v>
      </c>
      <c r="E529" s="49">
        <v>0</v>
      </c>
      <c r="F529" s="590">
        <f>IF(YEAR(Postup!$H$25)&gt;$D$494,Provozování!AS44,IF(AND(DAY(Postup!$H$25)=31,MONTH(Postup!$H$25)=12,YEAR(Postup!$H$25)=$D$494),Provozování!AS44,IF(YEAR(Postup!$H$25)=$D$494,Provozování!$BL44,0)))</f>
        <v>0</v>
      </c>
      <c r="G529" s="49">
        <v>0</v>
      </c>
      <c r="H529" s="590">
        <f>IF(YEAR(Postup!$H$25)&gt;$D$494,Provozování!AT44,IF(AND(DAY(Postup!$H$25)=31,MONTH(Postup!$H$25)=12,YEAR(Postup!$H$25)=$D$494),Provozování!AT44,IF(YEAR(Postup!$H$25)=$D$494,Provozování!$BM44,0)))</f>
        <v>0</v>
      </c>
      <c r="K529" s="9" t="s">
        <v>53</v>
      </c>
      <c r="L529" s="10" t="s">
        <v>54</v>
      </c>
      <c r="M529" s="11" t="s">
        <v>10</v>
      </c>
      <c r="N529" s="49">
        <v>0</v>
      </c>
      <c r="O529" s="443">
        <f>IF(Provozování!$AU$16="Neaktivní",0,Provozování!AU44)</f>
        <v>0</v>
      </c>
      <c r="P529" s="49">
        <v>0</v>
      </c>
      <c r="Q529" s="443">
        <f>IF(Provozování!$AU$16="Neaktivní",0,Provozování!AV44)</f>
        <v>0</v>
      </c>
      <c r="T529" s="9" t="s">
        <v>53</v>
      </c>
      <c r="U529" s="10" t="s">
        <v>54</v>
      </c>
      <c r="V529" s="11" t="s">
        <v>10</v>
      </c>
      <c r="W529" s="595">
        <v>0</v>
      </c>
      <c r="X529" s="49">
        <f>IF(Provozování!$AU$16="Neaktivní",F529,F529*Výpočty!$O$58+O529)</f>
        <v>0</v>
      </c>
      <c r="Y529" s="49">
        <f t="shared" ref="Y529:Y530" si="223">W529-X529</f>
        <v>0</v>
      </c>
      <c r="Z529" s="595">
        <v>0</v>
      </c>
      <c r="AA529" s="49">
        <f>IF(Provozování!$AU$16="Neaktivní",H529,H529*Výpočty!$O$58+Q529)</f>
        <v>0</v>
      </c>
      <c r="AB529" s="32">
        <f t="shared" ref="AB529:AB530" si="224">Z529-AA529</f>
        <v>0</v>
      </c>
      <c r="AC529" s="183"/>
      <c r="AD529" s="183"/>
      <c r="AE529" s="12" t="s">
        <v>407</v>
      </c>
      <c r="AF529" s="13" t="s">
        <v>409</v>
      </c>
      <c r="AG529" s="360">
        <f>Z554</f>
        <v>0</v>
      </c>
      <c r="AH529" s="360">
        <f>AB554</f>
        <v>0</v>
      </c>
      <c r="AK529" s="183"/>
      <c r="AL529" s="183"/>
      <c r="AM529" s="183"/>
      <c r="AN529" s="183"/>
    </row>
    <row r="530" spans="2:40" x14ac:dyDescent="0.25">
      <c r="B530" s="9" t="s">
        <v>55</v>
      </c>
      <c r="C530" s="10" t="s">
        <v>56</v>
      </c>
      <c r="D530" s="11" t="s">
        <v>10</v>
      </c>
      <c r="E530" s="49">
        <v>0</v>
      </c>
      <c r="F530" s="590">
        <f>IF(YEAR(Postup!$H$25)&gt;$D$494,Provozování!AS45,IF(AND(DAY(Postup!$H$25)=31,MONTH(Postup!$H$25)=12,YEAR(Postup!$H$25)=$D$494),Provozování!AS45,IF(YEAR(Postup!$H$25)=$D$494,Provozování!$BL45,0)))</f>
        <v>0</v>
      </c>
      <c r="G530" s="49">
        <v>0</v>
      </c>
      <c r="H530" s="590">
        <f>IF(YEAR(Postup!$H$25)&gt;$D$494,Provozování!AT45,IF(AND(DAY(Postup!$H$25)=31,MONTH(Postup!$H$25)=12,YEAR(Postup!$H$25)=$D$494),Provozování!AT45,IF(YEAR(Postup!$H$25)=$D$494,Provozování!$BM45,0)))</f>
        <v>0</v>
      </c>
      <c r="K530" s="9" t="s">
        <v>55</v>
      </c>
      <c r="L530" s="10" t="s">
        <v>56</v>
      </c>
      <c r="M530" s="11" t="s">
        <v>10</v>
      </c>
      <c r="N530" s="49">
        <v>0</v>
      </c>
      <c r="O530" s="443">
        <f>IF(Provozování!$AU$16="Neaktivní",0,Provozování!AU45)</f>
        <v>0</v>
      </c>
      <c r="P530" s="49">
        <v>0</v>
      </c>
      <c r="Q530" s="443">
        <f>IF(Provozování!$AU$16="Neaktivní",0,Provozování!AV45)</f>
        <v>0</v>
      </c>
      <c r="T530" s="9" t="s">
        <v>55</v>
      </c>
      <c r="U530" s="10" t="s">
        <v>56</v>
      </c>
      <c r="V530" s="11" t="s">
        <v>10</v>
      </c>
      <c r="W530" s="595">
        <v>0</v>
      </c>
      <c r="X530" s="49">
        <f>IF(Provozování!$AU$16="Neaktivní",F530,F530*Výpočty!$O$58+O530)</f>
        <v>0</v>
      </c>
      <c r="Y530" s="49">
        <f t="shared" si="223"/>
        <v>0</v>
      </c>
      <c r="Z530" s="595">
        <v>0</v>
      </c>
      <c r="AA530" s="49">
        <f>IF(Provozování!$AU$16="Neaktivní",H530,H530*Výpočty!$O$58+Q530)</f>
        <v>0</v>
      </c>
      <c r="AB530" s="32">
        <f t="shared" si="224"/>
        <v>0</v>
      </c>
      <c r="AC530" s="183"/>
      <c r="AD530" s="183"/>
      <c r="AE530" s="12" t="s">
        <v>411</v>
      </c>
      <c r="AF530" s="12" t="s">
        <v>419</v>
      </c>
      <c r="AG530" s="360">
        <f>X531-X521</f>
        <v>0</v>
      </c>
      <c r="AH530" s="360">
        <f>AA531-AA521</f>
        <v>0</v>
      </c>
      <c r="AK530" s="183"/>
      <c r="AL530" s="183"/>
      <c r="AM530" s="183"/>
      <c r="AN530" s="183"/>
    </row>
    <row r="531" spans="2:40" x14ac:dyDescent="0.25">
      <c r="B531" s="9" t="s">
        <v>57</v>
      </c>
      <c r="C531" s="10" t="s">
        <v>58</v>
      </c>
      <c r="D531" s="11" t="s">
        <v>10</v>
      </c>
      <c r="E531" s="46">
        <f>E507+E512+E515+E518+E523+E527+E528+E529+E530</f>
        <v>0</v>
      </c>
      <c r="F531" s="46">
        <f>F507+F512+F515+F518+F523+F527+F528+F529+F530</f>
        <v>0</v>
      </c>
      <c r="G531" s="46">
        <f>G507+G512+G515+G518+G523+G527+G528+G529+G530</f>
        <v>0</v>
      </c>
      <c r="H531" s="98">
        <f>H507+H512+H515+H518+H523+H527+H528+H529+H530</f>
        <v>0</v>
      </c>
      <c r="K531" s="9" t="s">
        <v>57</v>
      </c>
      <c r="L531" s="10" t="s">
        <v>58</v>
      </c>
      <c r="M531" s="11" t="s">
        <v>10</v>
      </c>
      <c r="N531" s="46">
        <f>N507+N512+N515+N518+N523+N527+N528+N529+N530</f>
        <v>0</v>
      </c>
      <c r="O531" s="46">
        <f>O507+O512+O515+O518+O523+O527+O528+O529+O530</f>
        <v>0</v>
      </c>
      <c r="P531" s="46">
        <f>P507+P512+P515+P518+P523+P527+P528+P529+P530</f>
        <v>0</v>
      </c>
      <c r="Q531" s="98">
        <f>Q507+Q512+Q515+Q518+Q523+Q527+Q528+Q529+Q530</f>
        <v>0</v>
      </c>
      <c r="T531" s="9" t="s">
        <v>57</v>
      </c>
      <c r="U531" s="10" t="s">
        <v>58</v>
      </c>
      <c r="V531" s="11" t="s">
        <v>10</v>
      </c>
      <c r="W531" s="46">
        <f t="shared" ref="W531:AB531" si="225">W507+W512+W515+W518+W523+W527+W528+W529+W530</f>
        <v>0</v>
      </c>
      <c r="X531" s="46">
        <f t="shared" si="225"/>
        <v>0</v>
      </c>
      <c r="Y531" s="46">
        <f t="shared" si="225"/>
        <v>0</v>
      </c>
      <c r="Z531" s="46">
        <f t="shared" si="225"/>
        <v>0</v>
      </c>
      <c r="AA531" s="46">
        <f t="shared" si="225"/>
        <v>0</v>
      </c>
      <c r="AB531" s="98">
        <f t="shared" si="225"/>
        <v>0</v>
      </c>
      <c r="AC531" s="183"/>
      <c r="AD531" s="183"/>
      <c r="AE531" s="12" t="s">
        <v>412</v>
      </c>
      <c r="AF531" s="12" t="s">
        <v>418</v>
      </c>
      <c r="AG531" s="360">
        <f>W531-W521</f>
        <v>0</v>
      </c>
      <c r="AH531" s="360">
        <f>Z531-Z521</f>
        <v>0</v>
      </c>
      <c r="AK531" s="183"/>
      <c r="AL531" s="183"/>
      <c r="AM531" s="183"/>
      <c r="AN531" s="183"/>
    </row>
    <row r="532" spans="2:40" x14ac:dyDescent="0.25">
      <c r="B532" s="12" t="s">
        <v>59</v>
      </c>
      <c r="C532" s="13" t="s">
        <v>112</v>
      </c>
      <c r="D532" s="3" t="s">
        <v>10</v>
      </c>
      <c r="E532" s="437">
        <v>0</v>
      </c>
      <c r="F532" s="591">
        <f>F462</f>
        <v>0</v>
      </c>
      <c r="G532" s="437">
        <v>0</v>
      </c>
      <c r="H532" s="593">
        <f>H462</f>
        <v>0</v>
      </c>
      <c r="K532" s="12" t="s">
        <v>59</v>
      </c>
      <c r="L532" s="13" t="s">
        <v>112</v>
      </c>
      <c r="M532" s="3" t="s">
        <v>10</v>
      </c>
      <c r="N532" s="437">
        <v>0</v>
      </c>
      <c r="O532" s="437">
        <f>IF(Provozování!$V$16="Neaktivní",0,F532)</f>
        <v>0</v>
      </c>
      <c r="P532" s="437">
        <v>0</v>
      </c>
      <c r="Q532" s="438">
        <f>IF(Provozování!$V$16="Neaktivní",0,H532)</f>
        <v>0</v>
      </c>
      <c r="T532" s="47" t="s">
        <v>59</v>
      </c>
      <c r="U532" s="13" t="s">
        <v>112</v>
      </c>
      <c r="V532" s="3" t="s">
        <v>10</v>
      </c>
      <c r="W532" s="591">
        <v>0</v>
      </c>
      <c r="X532" s="437">
        <f>F532</f>
        <v>0</v>
      </c>
      <c r="Y532" s="437">
        <f>W532-X532</f>
        <v>0</v>
      </c>
      <c r="Z532" s="591">
        <v>0</v>
      </c>
      <c r="AA532" s="437">
        <f>F532</f>
        <v>0</v>
      </c>
      <c r="AB532" s="438">
        <f>Z532-AA532</f>
        <v>0</v>
      </c>
      <c r="AC532" s="183"/>
      <c r="AD532" s="183"/>
      <c r="AE532" s="12" t="s">
        <v>430</v>
      </c>
      <c r="AF532" s="12" t="s">
        <v>431</v>
      </c>
      <c r="AG532" s="360">
        <f>Provozování!AS$97</f>
        <v>0</v>
      </c>
      <c r="AH532" s="360">
        <f ca="1">Provozování!AT$97</f>
        <v>0</v>
      </c>
      <c r="AK532" s="183"/>
      <c r="AL532" s="183"/>
      <c r="AM532" s="183"/>
      <c r="AN532" s="183"/>
    </row>
    <row r="533" spans="2:40" x14ac:dyDescent="0.25">
      <c r="B533" s="12" t="s">
        <v>60</v>
      </c>
      <c r="C533" s="13" t="s">
        <v>113</v>
      </c>
      <c r="D533" s="3" t="s">
        <v>10</v>
      </c>
      <c r="E533" s="437">
        <v>0</v>
      </c>
      <c r="F533" s="591">
        <f>F463</f>
        <v>0</v>
      </c>
      <c r="G533" s="437">
        <v>0</v>
      </c>
      <c r="H533" s="593">
        <f>H463</f>
        <v>0</v>
      </c>
      <c r="K533" s="12" t="s">
        <v>60</v>
      </c>
      <c r="L533" s="13" t="s">
        <v>113</v>
      </c>
      <c r="M533" s="3" t="s">
        <v>10</v>
      </c>
      <c r="N533" s="437">
        <v>0</v>
      </c>
      <c r="O533" s="437">
        <f>IF(Provozování!$V$16="Neaktivní",0,F533)</f>
        <v>0</v>
      </c>
      <c r="P533" s="437">
        <v>0</v>
      </c>
      <c r="Q533" s="438">
        <f>IF(Provozování!$V$16="Neaktivní",0,H533)</f>
        <v>0</v>
      </c>
      <c r="T533" s="12" t="s">
        <v>60</v>
      </c>
      <c r="U533" s="13" t="s">
        <v>113</v>
      </c>
      <c r="V533" s="3" t="s">
        <v>10</v>
      </c>
      <c r="W533" s="591">
        <v>0</v>
      </c>
      <c r="X533" s="437">
        <f>F533</f>
        <v>0</v>
      </c>
      <c r="Y533" s="437">
        <f>W533-X533</f>
        <v>0</v>
      </c>
      <c r="Z533" s="591">
        <v>0</v>
      </c>
      <c r="AA533" s="437">
        <f>F533</f>
        <v>0</v>
      </c>
      <c r="AB533" s="438">
        <f>Z533-AA533</f>
        <v>0</v>
      </c>
      <c r="AC533" s="183"/>
      <c r="AD533" s="183"/>
      <c r="AE533" s="554" t="s">
        <v>434</v>
      </c>
      <c r="AF533" s="555"/>
      <c r="AG533" s="959">
        <f>(AG527*AG528-AG527*AG529)+(AG530-AG531)-AG532</f>
        <v>0</v>
      </c>
      <c r="AH533" s="959">
        <f ca="1">(AH527*AH528-AH527*AH529)+(AH530-AH531)-AH532</f>
        <v>0</v>
      </c>
      <c r="AK533" s="183"/>
      <c r="AL533" s="183"/>
      <c r="AM533" s="183"/>
      <c r="AN533" s="183"/>
    </row>
    <row r="534" spans="2:40" x14ac:dyDescent="0.25">
      <c r="B534" s="12" t="s">
        <v>61</v>
      </c>
      <c r="C534" s="13" t="s">
        <v>62</v>
      </c>
      <c r="D534" s="3" t="s">
        <v>63</v>
      </c>
      <c r="E534" s="439">
        <v>0</v>
      </c>
      <c r="F534" s="592">
        <f>F464</f>
        <v>0</v>
      </c>
      <c r="G534" s="439">
        <v>0</v>
      </c>
      <c r="H534" s="592">
        <f>H464</f>
        <v>0</v>
      </c>
      <c r="K534" s="12" t="s">
        <v>61</v>
      </c>
      <c r="L534" s="13" t="s">
        <v>62</v>
      </c>
      <c r="M534" s="3" t="s">
        <v>63</v>
      </c>
      <c r="N534" s="439">
        <v>0</v>
      </c>
      <c r="O534" s="439">
        <f>IF(Provozování!$V$16="Neaktivní",0,F534)</f>
        <v>0</v>
      </c>
      <c r="P534" s="439">
        <v>0</v>
      </c>
      <c r="Q534" s="440">
        <f>IF(Provozování!$V$16="Neaktivní",0,H534)</f>
        <v>0</v>
      </c>
      <c r="T534" s="12" t="s">
        <v>61</v>
      </c>
      <c r="U534" s="13" t="s">
        <v>62</v>
      </c>
      <c r="V534" s="3" t="s">
        <v>63</v>
      </c>
      <c r="W534" s="599">
        <v>0</v>
      </c>
      <c r="X534" s="439">
        <f>F534</f>
        <v>0</v>
      </c>
      <c r="Y534" s="440">
        <f>W534-X534</f>
        <v>0</v>
      </c>
      <c r="Z534" s="599">
        <v>0</v>
      </c>
      <c r="AA534" s="439">
        <f>F534</f>
        <v>0</v>
      </c>
      <c r="AB534" s="440">
        <f>Z534-AA534</f>
        <v>0</v>
      </c>
      <c r="AC534" s="183"/>
      <c r="AD534" s="183"/>
      <c r="AE534" s="544" t="s">
        <v>432</v>
      </c>
      <c r="AF534" s="543"/>
      <c r="AG534" s="960"/>
      <c r="AH534" s="960"/>
      <c r="AK534" s="183"/>
      <c r="AL534" s="183"/>
      <c r="AM534" s="183"/>
      <c r="AN534" s="183"/>
    </row>
    <row r="535" spans="2:40" x14ac:dyDescent="0.25">
      <c r="B535" s="12" t="s">
        <v>64</v>
      </c>
      <c r="C535" s="13" t="s">
        <v>65</v>
      </c>
      <c r="D535" s="3" t="s">
        <v>66</v>
      </c>
      <c r="E535" s="49">
        <v>0</v>
      </c>
      <c r="F535" s="49">
        <f>IF(YEAR(Postup!$H$25)&gt;$D$494,Provozování!AS47,IF(AND(DAY(Postup!$H$25)=31,MONTH(Postup!$H$25)=12,YEAR(Postup!$H$25)=$D$494),Provozování!AS47,IF(YEAR(Postup!$H$25)=$D$494,Provozování!$BL47,0)))</f>
        <v>0</v>
      </c>
      <c r="G535" s="49">
        <v>0</v>
      </c>
      <c r="H535" s="442">
        <v>0</v>
      </c>
      <c r="K535" s="12" t="s">
        <v>64</v>
      </c>
      <c r="L535" s="13" t="s">
        <v>65</v>
      </c>
      <c r="M535" s="3" t="s">
        <v>66</v>
      </c>
      <c r="N535" s="49">
        <v>0</v>
      </c>
      <c r="O535" s="49">
        <f>IF(Provozování!$AU$16="Neaktivní",0,Provozování!AU47)</f>
        <v>0</v>
      </c>
      <c r="P535" s="49">
        <v>0</v>
      </c>
      <c r="Q535" s="442">
        <v>0</v>
      </c>
      <c r="T535" s="12" t="s">
        <v>64</v>
      </c>
      <c r="U535" s="13" t="s">
        <v>65</v>
      </c>
      <c r="V535" s="3" t="s">
        <v>66</v>
      </c>
      <c r="W535" s="595">
        <v>0</v>
      </c>
      <c r="X535" s="49">
        <f>IF(Provozování!$AU$16="Neaktivní",F535,F535*Výpočty!$O$58+O535)</f>
        <v>0</v>
      </c>
      <c r="Y535" s="49">
        <f>W535-X535</f>
        <v>0</v>
      </c>
      <c r="Z535" s="445">
        <v>0</v>
      </c>
      <c r="AA535" s="445">
        <v>0</v>
      </c>
      <c r="AB535" s="442">
        <v>0</v>
      </c>
      <c r="AC535" s="183"/>
      <c r="AD535" s="183"/>
      <c r="AE535" s="963" t="s">
        <v>416</v>
      </c>
      <c r="AF535" s="964"/>
      <c r="AG535" s="957" t="str">
        <f>IF(AG533&gt;0,"úspora",IF(AG533&lt;0,"ztráta provozovatele","-"))</f>
        <v>-</v>
      </c>
      <c r="AH535" s="957" t="str">
        <f ca="1">IF(AH533&gt;0,"úspora",IF(AH533&lt;0,"ztráta provozovatele","-"))</f>
        <v>-</v>
      </c>
      <c r="AK535" s="183"/>
      <c r="AL535" s="183"/>
      <c r="AM535" s="183"/>
      <c r="AN535" s="183"/>
    </row>
    <row r="536" spans="2:40" x14ac:dyDescent="0.25">
      <c r="B536" s="12" t="s">
        <v>67</v>
      </c>
      <c r="C536" s="13" t="s">
        <v>68</v>
      </c>
      <c r="D536" s="3" t="s">
        <v>66</v>
      </c>
      <c r="E536" s="49">
        <v>0</v>
      </c>
      <c r="F536" s="49">
        <f>IF(YEAR(Postup!$H$25)&gt;$D$494,Provozování!AS48,IF(AND(DAY(Postup!$H$25)=31,MONTH(Postup!$H$25)=12,YEAR(Postup!$H$25)=$D$494),Provozování!AS48,IF(YEAR(Postup!$H$25)=$D$494,Provozování!$BL48,0)))</f>
        <v>0</v>
      </c>
      <c r="G536" s="49">
        <v>0</v>
      </c>
      <c r="H536" s="442">
        <v>0</v>
      </c>
      <c r="K536" s="12" t="s">
        <v>67</v>
      </c>
      <c r="L536" s="13" t="s">
        <v>68</v>
      </c>
      <c r="M536" s="3" t="s">
        <v>66</v>
      </c>
      <c r="N536" s="49">
        <v>0</v>
      </c>
      <c r="O536" s="49">
        <f>IF(Provozování!$AU$16="Neaktivní",0,Provozování!AU48)</f>
        <v>0</v>
      </c>
      <c r="P536" s="49">
        <v>0</v>
      </c>
      <c r="Q536" s="442">
        <v>0</v>
      </c>
      <c r="T536" s="12" t="s">
        <v>67</v>
      </c>
      <c r="U536" s="13" t="s">
        <v>68</v>
      </c>
      <c r="V536" s="3" t="s">
        <v>66</v>
      </c>
      <c r="W536" s="595">
        <v>0</v>
      </c>
      <c r="X536" s="49">
        <f>IF(Provozování!$AU$16="Neaktivní",F536,F536*Výpočty!$O$58+O536)</f>
        <v>0</v>
      </c>
      <c r="Y536" s="49">
        <f>W536-X536</f>
        <v>0</v>
      </c>
      <c r="Z536" s="445">
        <v>0</v>
      </c>
      <c r="AA536" s="445">
        <v>0</v>
      </c>
      <c r="AB536" s="442">
        <v>0</v>
      </c>
      <c r="AC536" s="183"/>
      <c r="AD536" s="183"/>
      <c r="AE536" s="965"/>
      <c r="AF536" s="966"/>
      <c r="AG536" s="958"/>
      <c r="AH536" s="958"/>
      <c r="AK536" s="183"/>
      <c r="AL536" s="183"/>
      <c r="AM536" s="183"/>
      <c r="AN536" s="183"/>
    </row>
    <row r="537" spans="2:40" x14ac:dyDescent="0.25">
      <c r="B537" s="12" t="s">
        <v>69</v>
      </c>
      <c r="C537" s="13" t="s">
        <v>70</v>
      </c>
      <c r="D537" s="3" t="s">
        <v>66</v>
      </c>
      <c r="E537" s="49">
        <v>0</v>
      </c>
      <c r="F537" s="445">
        <v>0</v>
      </c>
      <c r="G537" s="49">
        <v>0</v>
      </c>
      <c r="H537" s="32">
        <f>IF(YEAR(Postup!$H$25)&gt;$D$494,Provozování!AT49,IF(AND(DAY(Postup!$H$25)=31,MONTH(Postup!$H$25)=12,YEAR(Postup!$H$25)=$D$494),Provozování!AT49,IF(YEAR(Postup!$H$25)=$D$494,Provozování!$BM49,0)))</f>
        <v>0</v>
      </c>
      <c r="K537" s="12" t="s">
        <v>69</v>
      </c>
      <c r="L537" s="13" t="s">
        <v>70</v>
      </c>
      <c r="M537" s="3" t="s">
        <v>66</v>
      </c>
      <c r="N537" s="49">
        <v>0</v>
      </c>
      <c r="O537" s="445">
        <v>0</v>
      </c>
      <c r="P537" s="49">
        <v>0</v>
      </c>
      <c r="Q537" s="59">
        <f>IF(Provozování!$AU$16="Neaktivní",0,Provozování!AV49)</f>
        <v>0</v>
      </c>
      <c r="T537" s="12" t="s">
        <v>69</v>
      </c>
      <c r="U537" s="13" t="s">
        <v>70</v>
      </c>
      <c r="V537" s="3" t="s">
        <v>66</v>
      </c>
      <c r="W537" s="445">
        <v>0</v>
      </c>
      <c r="X537" s="445">
        <v>0</v>
      </c>
      <c r="Y537" s="445">
        <v>0</v>
      </c>
      <c r="Z537" s="595">
        <v>0</v>
      </c>
      <c r="AA537" s="49">
        <f>IF(Provozování!$AU$16="Neaktivní",H537,H537*Výpočty!$O$58+Q537)</f>
        <v>0</v>
      </c>
      <c r="AB537" s="32">
        <f t="shared" ref="AB537:AB542" si="226">Z537-AA537</f>
        <v>0</v>
      </c>
      <c r="AC537" s="183"/>
      <c r="AD537" s="183"/>
      <c r="AE537" s="533" t="s">
        <v>422</v>
      </c>
      <c r="AF537" s="533"/>
      <c r="AG537" s="453">
        <f>IF(AG533&gt;0,AG533/AG530,0)</f>
        <v>0</v>
      </c>
      <c r="AH537" s="453">
        <f ca="1">IF(AH533&gt;0,AH533/AH530,0)</f>
        <v>0</v>
      </c>
      <c r="AK537" s="183"/>
      <c r="AL537" s="183"/>
      <c r="AM537" s="183"/>
      <c r="AN537" s="183"/>
    </row>
    <row r="538" spans="2:40" x14ac:dyDescent="0.25">
      <c r="B538" s="12" t="s">
        <v>71</v>
      </c>
      <c r="C538" s="13" t="s">
        <v>68</v>
      </c>
      <c r="D538" s="3" t="s">
        <v>66</v>
      </c>
      <c r="E538" s="49">
        <v>0</v>
      </c>
      <c r="F538" s="445">
        <v>0</v>
      </c>
      <c r="G538" s="49">
        <v>0</v>
      </c>
      <c r="H538" s="32">
        <f>IF(YEAR(Postup!$H$25)&gt;$D$494,Provozování!AT50,IF(AND(DAY(Postup!$H$25)=31,MONTH(Postup!$H$25)=12,YEAR(Postup!$H$25)=$D$494),Provozování!AT50,IF(YEAR(Postup!$H$25)=$D$494,Provozování!$BM50,0)))</f>
        <v>0</v>
      </c>
      <c r="K538" s="12" t="s">
        <v>71</v>
      </c>
      <c r="L538" s="13" t="s">
        <v>68</v>
      </c>
      <c r="M538" s="3" t="s">
        <v>66</v>
      </c>
      <c r="N538" s="49">
        <v>0</v>
      </c>
      <c r="O538" s="445">
        <v>0</v>
      </c>
      <c r="P538" s="49">
        <v>0</v>
      </c>
      <c r="Q538" s="59">
        <f>IF(Provozování!$AU$16="Neaktivní",0,Provozování!AV50)</f>
        <v>0</v>
      </c>
      <c r="T538" s="12" t="s">
        <v>71</v>
      </c>
      <c r="U538" s="13" t="s">
        <v>68</v>
      </c>
      <c r="V538" s="3" t="s">
        <v>66</v>
      </c>
      <c r="W538" s="445">
        <v>0</v>
      </c>
      <c r="X538" s="445">
        <v>0</v>
      </c>
      <c r="Y538" s="445">
        <v>0</v>
      </c>
      <c r="Z538" s="595">
        <v>0</v>
      </c>
      <c r="AA538" s="49">
        <f>IF(Provozování!$AU$16="Neaktivní",H538,H538*Výpočty!$O$58+Q538)</f>
        <v>0</v>
      </c>
      <c r="AB538" s="32">
        <f t="shared" si="226"/>
        <v>0</v>
      </c>
      <c r="AC538" s="183"/>
      <c r="AD538" s="183"/>
      <c r="AE538" s="556" t="s">
        <v>402</v>
      </c>
      <c r="AF538" s="556"/>
      <c r="AG538" s="961">
        <f>IF(AG537&gt;0,AG530*AI539*0.5,0)</f>
        <v>0</v>
      </c>
      <c r="AH538" s="961">
        <f ca="1">IF(AH537&gt;0,AH530*AJ539*0.5,0)</f>
        <v>0</v>
      </c>
      <c r="AK538" s="183"/>
      <c r="AL538" s="183"/>
      <c r="AM538" s="183"/>
      <c r="AN538" s="183"/>
    </row>
    <row r="539" spans="2:40" x14ac:dyDescent="0.25">
      <c r="B539" s="12" t="s">
        <v>72</v>
      </c>
      <c r="C539" s="13" t="s">
        <v>73</v>
      </c>
      <c r="D539" s="3" t="s">
        <v>66</v>
      </c>
      <c r="E539" s="49">
        <v>0</v>
      </c>
      <c r="F539" s="445">
        <v>0</v>
      </c>
      <c r="G539" s="49">
        <v>0</v>
      </c>
      <c r="H539" s="32">
        <f>IF(YEAR(Postup!$H$25)&gt;$D$494,Provozování!AT51,IF(AND(DAY(Postup!$H$25)=31,MONTH(Postup!$H$25)=12,YEAR(Postup!$H$25)=$D$494),Provozování!AT51,IF(YEAR(Postup!$H$25)=$D$494,Provozování!$BM51,0)))</f>
        <v>0</v>
      </c>
      <c r="K539" s="12" t="s">
        <v>72</v>
      </c>
      <c r="L539" s="13" t="s">
        <v>73</v>
      </c>
      <c r="M539" s="3" t="s">
        <v>66</v>
      </c>
      <c r="N539" s="49">
        <v>0</v>
      </c>
      <c r="O539" s="445">
        <v>0</v>
      </c>
      <c r="P539" s="49">
        <v>0</v>
      </c>
      <c r="Q539" s="59">
        <f>IF(Provozování!$AU$16="Neaktivní",0,Provozování!AV51)</f>
        <v>0</v>
      </c>
      <c r="T539" s="12" t="s">
        <v>72</v>
      </c>
      <c r="U539" s="13" t="s">
        <v>73</v>
      </c>
      <c r="V539" s="3" t="s">
        <v>66</v>
      </c>
      <c r="W539" s="445">
        <v>0</v>
      </c>
      <c r="X539" s="445">
        <v>0</v>
      </c>
      <c r="Y539" s="445">
        <v>0</v>
      </c>
      <c r="Z539" s="595">
        <v>0</v>
      </c>
      <c r="AA539" s="49">
        <f>IF(Provozování!$AU$16="Neaktivní",H539,H539*Výpočty!$O$58+Q539)</f>
        <v>0</v>
      </c>
      <c r="AB539" s="32">
        <f t="shared" si="226"/>
        <v>0</v>
      </c>
      <c r="AC539" s="183"/>
      <c r="AD539" s="183"/>
      <c r="AE539" s="557" t="s">
        <v>413</v>
      </c>
      <c r="AF539" s="557"/>
      <c r="AG539" s="962"/>
      <c r="AH539" s="962"/>
      <c r="AI539" s="454">
        <f>IF(AG537&gt;0.05,0.05,AG537)</f>
        <v>0</v>
      </c>
      <c r="AJ539" s="454">
        <f ca="1">IF(AH537&gt;0.05,0.05,AH537)</f>
        <v>0</v>
      </c>
      <c r="AK539" s="183"/>
      <c r="AL539" s="183"/>
      <c r="AM539" s="183"/>
      <c r="AN539" s="183"/>
    </row>
    <row r="540" spans="2:40" x14ac:dyDescent="0.25">
      <c r="B540" s="12" t="s">
        <v>74</v>
      </c>
      <c r="C540" s="13" t="s">
        <v>75</v>
      </c>
      <c r="D540" s="3" t="s">
        <v>66</v>
      </c>
      <c r="E540" s="49">
        <v>0</v>
      </c>
      <c r="F540" s="445">
        <v>0</v>
      </c>
      <c r="G540" s="49">
        <v>0</v>
      </c>
      <c r="H540" s="32">
        <f>IF(YEAR(Postup!$H$25)&gt;$D$494,Provozování!AT52,IF(AND(DAY(Postup!$H$25)=31,MONTH(Postup!$H$25)=12,YEAR(Postup!$H$25)=$D$494),Provozování!AT52,IF(YEAR(Postup!$H$25)=$D$494,Provozování!$BM52,0)))</f>
        <v>0</v>
      </c>
      <c r="K540" s="12" t="s">
        <v>74</v>
      </c>
      <c r="L540" s="13" t="s">
        <v>75</v>
      </c>
      <c r="M540" s="3" t="s">
        <v>66</v>
      </c>
      <c r="N540" s="49">
        <v>0</v>
      </c>
      <c r="O540" s="445">
        <v>0</v>
      </c>
      <c r="P540" s="49">
        <v>0</v>
      </c>
      <c r="Q540" s="59">
        <f>IF(Provozování!$AU$16="Neaktivní",0,Provozování!AV52)</f>
        <v>0</v>
      </c>
      <c r="T540" s="12" t="s">
        <v>74</v>
      </c>
      <c r="U540" s="13" t="s">
        <v>75</v>
      </c>
      <c r="V540" s="3" t="s">
        <v>66</v>
      </c>
      <c r="W540" s="445">
        <v>0</v>
      </c>
      <c r="X540" s="445">
        <v>0</v>
      </c>
      <c r="Y540" s="445">
        <v>0</v>
      </c>
      <c r="Z540" s="595">
        <v>0</v>
      </c>
      <c r="AA540" s="49">
        <f>IF(Provozování!$AU$16="Neaktivní",H540,H540*Výpočty!$O$58+Q540)</f>
        <v>0</v>
      </c>
      <c r="AB540" s="32">
        <f t="shared" si="226"/>
        <v>0</v>
      </c>
      <c r="AC540" s="183"/>
      <c r="AD540" s="183"/>
      <c r="AE540" s="534" t="s">
        <v>414</v>
      </c>
      <c r="AF540" s="534"/>
      <c r="AG540" s="360">
        <f>IF(AI540&gt;0,AG530*(AI540-0.05)*0.8,0)</f>
        <v>0</v>
      </c>
      <c r="AH540" s="360">
        <f ca="1">IF(AJ540&gt;0,AH530*(AJ540-0.05)*0.8,0)</f>
        <v>0</v>
      </c>
      <c r="AI540" s="454">
        <f>IF(AND(AG537&gt;0.05,AG537&lt;=0.1),AG537,IF(AG537&lt;=0.05,0,0.1))</f>
        <v>0</v>
      </c>
      <c r="AJ540" s="454">
        <f ca="1">IF(AND(AH537&gt;0.05,AH537&lt;=0.1),AH537,IF(AH537&lt;=0.05,0,0.1))</f>
        <v>0</v>
      </c>
      <c r="AK540" s="183"/>
      <c r="AL540" s="183"/>
      <c r="AM540" s="183"/>
      <c r="AN540" s="183"/>
    </row>
    <row r="541" spans="2:40" x14ac:dyDescent="0.25">
      <c r="B541" s="12" t="s">
        <v>76</v>
      </c>
      <c r="C541" s="13" t="s">
        <v>77</v>
      </c>
      <c r="D541" s="3" t="s">
        <v>66</v>
      </c>
      <c r="E541" s="49">
        <v>0</v>
      </c>
      <c r="F541" s="49">
        <f>IF(YEAR(Postup!$H$25)&gt;$D$494,Provozování!AS53,IF(AND(DAY(Postup!$H$25)=31,MONTH(Postup!$H$25)=12,YEAR(Postup!$H$25)=$D$494),Provozování!AS53,IF(YEAR(Postup!$H$25)=$D$494,Provozování!$BL53,0)))</f>
        <v>0</v>
      </c>
      <c r="G541" s="49">
        <v>0</v>
      </c>
      <c r="H541" s="32">
        <f>IF(YEAR(Postup!$H$25)&gt;$D$494,Provozování!AT53,IF(AND(DAY(Postup!$H$25)=31,MONTH(Postup!$H$25)=12,YEAR(Postup!$H$25)=$D$494),Provozování!AT53,IF(YEAR(Postup!$H$25)=$D$494,Provozování!$BM53,0)))</f>
        <v>0</v>
      </c>
      <c r="K541" s="12" t="s">
        <v>76</v>
      </c>
      <c r="L541" s="13" t="s">
        <v>77</v>
      </c>
      <c r="M541" s="3" t="s">
        <v>66</v>
      </c>
      <c r="N541" s="49">
        <v>0</v>
      </c>
      <c r="O541" s="49">
        <f>IF(Provozování!$AU$16="Neaktivní",0,Provozování!AU53)</f>
        <v>0</v>
      </c>
      <c r="P541" s="49">
        <v>0</v>
      </c>
      <c r="Q541" s="59">
        <f>IF(Provozování!$AU$16="Neaktivní",0,Provozování!AV53)</f>
        <v>0</v>
      </c>
      <c r="T541" s="12" t="s">
        <v>76</v>
      </c>
      <c r="U541" s="13" t="s">
        <v>77</v>
      </c>
      <c r="V541" s="3" t="s">
        <v>66</v>
      </c>
      <c r="W541" s="595">
        <v>0</v>
      </c>
      <c r="X541" s="49">
        <f>IF(Provozování!$AU$16="Neaktivní",F541,F541*Výpočty!$O$58+O541)</f>
        <v>0</v>
      </c>
      <c r="Y541" s="49">
        <f>W541-X541</f>
        <v>0</v>
      </c>
      <c r="Z541" s="595">
        <v>0</v>
      </c>
      <c r="AA541" s="49">
        <f>IF(Provozování!$AU$16="Neaktivní",H541,H541*Výpočty!$O$58+Q541)</f>
        <v>0</v>
      </c>
      <c r="AB541" s="32">
        <f t="shared" si="226"/>
        <v>0</v>
      </c>
      <c r="AC541" s="183"/>
      <c r="AD541" s="183"/>
      <c r="AE541" s="534" t="s">
        <v>415</v>
      </c>
      <c r="AF541" s="534"/>
      <c r="AG541" s="360">
        <f>IF(AI541&gt;0,AG530*(AI541-0.1)*1,0)</f>
        <v>0</v>
      </c>
      <c r="AH541" s="360">
        <f ca="1">IF(AJ541&gt;0,AH530*(AJ541-0.1)*1,0)</f>
        <v>0</v>
      </c>
      <c r="AI541" s="454">
        <f>IF(AG537&gt;0.1,AG537,0)</f>
        <v>0</v>
      </c>
      <c r="AJ541" s="454">
        <f ca="1">IF(AH537&gt;0.1,AH537,0)</f>
        <v>0</v>
      </c>
      <c r="AK541" s="183"/>
      <c r="AL541" s="183"/>
      <c r="AM541" s="183"/>
      <c r="AN541" s="183"/>
    </row>
    <row r="542" spans="2:40" x14ac:dyDescent="0.25">
      <c r="B542" s="12" t="s">
        <v>78</v>
      </c>
      <c r="C542" s="13" t="s">
        <v>79</v>
      </c>
      <c r="D542" s="3" t="s">
        <v>66</v>
      </c>
      <c r="E542" s="49">
        <v>0</v>
      </c>
      <c r="F542" s="49">
        <f>IF(YEAR(Postup!$H$25)&gt;$D$494,Provozování!AS54,IF(AND(DAY(Postup!$H$25)=31,MONTH(Postup!$H$25)=12,YEAR(Postup!$H$25)=$D$494),Provozování!AS54,IF(YEAR(Postup!$H$25)=$D$494,Provozování!$BL54,0)))</f>
        <v>0</v>
      </c>
      <c r="G542" s="49">
        <v>0</v>
      </c>
      <c r="H542" s="32">
        <f>IF(YEAR(Postup!$H$25)&gt;$D$494,Provozování!AT54,IF(AND(DAY(Postup!$H$25)=31,MONTH(Postup!$H$25)=12,YEAR(Postup!$H$25)=$D$494),Provozování!AT54,IF(YEAR(Postup!$H$25)=$D$494,Provozování!$BM54,0)))</f>
        <v>0</v>
      </c>
      <c r="K542" s="12" t="s">
        <v>78</v>
      </c>
      <c r="L542" s="13" t="s">
        <v>79</v>
      </c>
      <c r="M542" s="3" t="s">
        <v>66</v>
      </c>
      <c r="N542" s="49">
        <v>0</v>
      </c>
      <c r="O542" s="49">
        <f>IF(Provozování!$AU$16="Neaktivní",0,Provozování!AU54)</f>
        <v>0</v>
      </c>
      <c r="P542" s="49">
        <v>0</v>
      </c>
      <c r="Q542" s="32">
        <f>IF(Provozování!$AU$16="Neaktivní",0,Provozování!AV54)</f>
        <v>0</v>
      </c>
      <c r="T542" s="12" t="s">
        <v>78</v>
      </c>
      <c r="U542" s="13" t="s">
        <v>79</v>
      </c>
      <c r="V542" s="3" t="s">
        <v>66</v>
      </c>
      <c r="W542" s="595">
        <v>0</v>
      </c>
      <c r="X542" s="49">
        <f>IF(Provozování!$AU$16="Neaktivní",F542,F542*Výpočty!$O$58+O542)</f>
        <v>0</v>
      </c>
      <c r="Y542" s="49">
        <f>W542-X542</f>
        <v>0</v>
      </c>
      <c r="Z542" s="595">
        <v>0</v>
      </c>
      <c r="AA542" s="49">
        <f>IF(Provozování!$AU$16="Neaktivní",H542,H542*Výpočty!$O$58+Q542)</f>
        <v>0</v>
      </c>
      <c r="AB542" s="32">
        <f t="shared" si="226"/>
        <v>0</v>
      </c>
      <c r="AC542" s="183"/>
      <c r="AD542" s="183"/>
      <c r="AE542" s="532" t="s">
        <v>403</v>
      </c>
      <c r="AF542" s="532"/>
      <c r="AG542" s="455">
        <f>SUM(AG538:AG541)</f>
        <v>0</v>
      </c>
      <c r="AH542" s="455">
        <f ca="1">SUM(AH538:AH541)</f>
        <v>0</v>
      </c>
      <c r="AK542" s="183"/>
      <c r="AL542" s="183"/>
      <c r="AM542" s="183"/>
      <c r="AN542" s="183"/>
    </row>
    <row r="543" spans="2:40" x14ac:dyDescent="0.25">
      <c r="B543" s="1"/>
      <c r="C543" s="1"/>
      <c r="D543" s="1"/>
      <c r="E543" s="1"/>
      <c r="F543" s="456"/>
      <c r="G543" s="1"/>
      <c r="H543" s="456"/>
      <c r="K543" s="1"/>
      <c r="L543" s="1"/>
      <c r="M543" s="1"/>
      <c r="N543" s="1"/>
      <c r="O543" s="1"/>
      <c r="P543" s="1"/>
      <c r="Q543" s="1"/>
      <c r="T543" s="1"/>
      <c r="U543" s="1"/>
      <c r="V543" s="1"/>
      <c r="W543" s="1"/>
      <c r="X543" s="1"/>
      <c r="Y543" s="1"/>
      <c r="Z543" s="1"/>
      <c r="AA543" s="1"/>
      <c r="AB543" s="1"/>
      <c r="AC543" s="183"/>
      <c r="AD543" s="183"/>
      <c r="AE543" s="183"/>
      <c r="AF543" s="183"/>
      <c r="AG543" s="183"/>
      <c r="AH543" s="183"/>
      <c r="AI543" s="183"/>
      <c r="AJ543" s="183"/>
      <c r="AK543" s="183"/>
      <c r="AL543" s="183"/>
      <c r="AM543" s="183"/>
      <c r="AN543" s="183"/>
    </row>
    <row r="544" spans="2:40" x14ac:dyDescent="0.25">
      <c r="B544" s="932" t="s">
        <v>5</v>
      </c>
      <c r="C544" s="721" t="s">
        <v>80</v>
      </c>
      <c r="D544" s="722"/>
      <c r="E544" s="723"/>
      <c r="F544" s="724"/>
      <c r="G544" s="722"/>
      <c r="H544" s="725"/>
      <c r="K544" s="932" t="s">
        <v>5</v>
      </c>
      <c r="L544" s="721" t="s">
        <v>80</v>
      </c>
      <c r="M544" s="722"/>
      <c r="N544" s="723"/>
      <c r="O544" s="724"/>
      <c r="P544" s="722"/>
      <c r="Q544" s="725"/>
      <c r="T544" s="771" t="s">
        <v>5</v>
      </c>
      <c r="U544" s="721" t="s">
        <v>80</v>
      </c>
      <c r="V544" s="722"/>
      <c r="W544" s="723"/>
      <c r="X544" s="723"/>
      <c r="Y544" s="724"/>
      <c r="Z544" s="722"/>
      <c r="AA544" s="722"/>
      <c r="AB544" s="725"/>
      <c r="AC544" s="183"/>
      <c r="AD544" s="183"/>
      <c r="AE544" s="183"/>
      <c r="AF544" s="183"/>
      <c r="AG544" s="183"/>
      <c r="AH544" s="183"/>
      <c r="AI544" s="183"/>
      <c r="AJ544" s="183"/>
      <c r="AK544" s="183"/>
      <c r="AL544" s="183"/>
      <c r="AM544" s="183"/>
      <c r="AN544" s="183"/>
    </row>
    <row r="545" spans="2:40" x14ac:dyDescent="0.25">
      <c r="B545" s="930"/>
      <c r="C545" s="932" t="s">
        <v>81</v>
      </c>
      <c r="D545" s="929" t="s">
        <v>173</v>
      </c>
      <c r="E545" s="874" t="s">
        <v>118</v>
      </c>
      <c r="F545" s="937"/>
      <c r="G545" s="26" t="s">
        <v>3</v>
      </c>
      <c r="H545" s="23" t="s">
        <v>4</v>
      </c>
      <c r="K545" s="930"/>
      <c r="L545" s="5" t="s">
        <v>81</v>
      </c>
      <c r="M545" s="929" t="s">
        <v>173</v>
      </c>
      <c r="N545" s="874" t="s">
        <v>118</v>
      </c>
      <c r="O545" s="937"/>
      <c r="P545" s="26" t="s">
        <v>3</v>
      </c>
      <c r="Q545" s="23" t="s">
        <v>4</v>
      </c>
      <c r="T545" s="934"/>
      <c r="U545" s="932" t="s">
        <v>81</v>
      </c>
      <c r="V545" s="929" t="s">
        <v>173</v>
      </c>
      <c r="W545" s="874" t="s">
        <v>118</v>
      </c>
      <c r="X545" s="937"/>
      <c r="Y545" s="874" t="s">
        <v>3</v>
      </c>
      <c r="Z545" s="939"/>
      <c r="AA545" s="940" t="s">
        <v>4</v>
      </c>
      <c r="AB545" s="940"/>
      <c r="AC545" s="183"/>
      <c r="AD545" s="183"/>
      <c r="AE545" s="183"/>
      <c r="AF545" s="183"/>
      <c r="AG545" s="183"/>
      <c r="AH545" s="183"/>
      <c r="AI545" s="183"/>
      <c r="AJ545" s="183"/>
      <c r="AK545" s="183"/>
      <c r="AL545" s="183"/>
      <c r="AM545" s="183"/>
      <c r="AN545" s="183"/>
    </row>
    <row r="546" spans="2:40" x14ac:dyDescent="0.25">
      <c r="B546" s="931"/>
      <c r="C546" s="931"/>
      <c r="D546" s="936"/>
      <c r="E546" s="875"/>
      <c r="F546" s="938"/>
      <c r="G546" s="27" t="s">
        <v>7</v>
      </c>
      <c r="H546" s="24" t="s">
        <v>7</v>
      </c>
      <c r="K546" s="931"/>
      <c r="L546" s="8"/>
      <c r="M546" s="936"/>
      <c r="N546" s="875"/>
      <c r="O546" s="938"/>
      <c r="P546" s="27" t="s">
        <v>7</v>
      </c>
      <c r="Q546" s="24" t="s">
        <v>7</v>
      </c>
      <c r="T546" s="935"/>
      <c r="U546" s="931"/>
      <c r="V546" s="936"/>
      <c r="W546" s="875"/>
      <c r="X546" s="938"/>
      <c r="Y546" s="40" t="s">
        <v>196</v>
      </c>
      <c r="Z546" s="40" t="s">
        <v>7</v>
      </c>
      <c r="AA546" s="40" t="s">
        <v>196</v>
      </c>
      <c r="AB546" s="40" t="s">
        <v>7</v>
      </c>
      <c r="AC546" s="183"/>
      <c r="AD546" s="183"/>
      <c r="AE546" s="183"/>
      <c r="AF546" s="183"/>
      <c r="AG546" s="183"/>
      <c r="AH546" s="183"/>
      <c r="AI546" s="183"/>
      <c r="AJ546" s="183"/>
      <c r="AK546" s="183"/>
      <c r="AL546" s="183"/>
      <c r="AM546" s="183"/>
      <c r="AN546" s="183"/>
    </row>
    <row r="547" spans="2:40" x14ac:dyDescent="0.25">
      <c r="B547" s="11">
        <v>1</v>
      </c>
      <c r="C547" s="11">
        <v>2</v>
      </c>
      <c r="D547" s="11" t="s">
        <v>111</v>
      </c>
      <c r="E547" s="735" t="s">
        <v>115</v>
      </c>
      <c r="F547" s="736"/>
      <c r="G547" s="11" t="s">
        <v>116</v>
      </c>
      <c r="H547" s="22" t="s">
        <v>117</v>
      </c>
      <c r="K547" s="11">
        <v>1</v>
      </c>
      <c r="L547" s="11">
        <v>2</v>
      </c>
      <c r="M547" s="11" t="s">
        <v>111</v>
      </c>
      <c r="N547" s="735" t="s">
        <v>115</v>
      </c>
      <c r="O547" s="736"/>
      <c r="P547" s="11" t="s">
        <v>116</v>
      </c>
      <c r="Q547" s="22" t="s">
        <v>117</v>
      </c>
      <c r="T547" s="11">
        <v>1</v>
      </c>
      <c r="U547" s="11">
        <v>2</v>
      </c>
      <c r="V547" s="11" t="s">
        <v>111</v>
      </c>
      <c r="W547" s="944" t="s">
        <v>115</v>
      </c>
      <c r="X547" s="945"/>
      <c r="Y547" s="11" t="s">
        <v>201</v>
      </c>
      <c r="Z547" s="11" t="s">
        <v>116</v>
      </c>
      <c r="AA547" s="11" t="s">
        <v>200</v>
      </c>
      <c r="AB547" s="22" t="s">
        <v>117</v>
      </c>
      <c r="AC547" s="183"/>
      <c r="AD547" s="183"/>
      <c r="AE547" s="183"/>
      <c r="AF547" s="183"/>
      <c r="AG547" s="183"/>
      <c r="AH547" s="183"/>
      <c r="AI547" s="183"/>
      <c r="AJ547" s="183"/>
      <c r="AK547" s="183"/>
      <c r="AL547" s="183"/>
      <c r="AM547" s="183"/>
      <c r="AN547" s="183"/>
    </row>
    <row r="548" spans="2:40" x14ac:dyDescent="0.25">
      <c r="B548" s="12" t="s">
        <v>82</v>
      </c>
      <c r="C548" s="13" t="s">
        <v>127</v>
      </c>
      <c r="D548" s="13" t="s">
        <v>83</v>
      </c>
      <c r="E548" s="732" t="s">
        <v>120</v>
      </c>
      <c r="F548" s="733"/>
      <c r="G548" s="171">
        <f>IF(G554=0,0,G549/G554)</f>
        <v>0</v>
      </c>
      <c r="H548" s="172">
        <f>IF(H554=0,0,H549/H554)</f>
        <v>0</v>
      </c>
      <c r="K548" s="12" t="s">
        <v>82</v>
      </c>
      <c r="L548" s="13" t="s">
        <v>127</v>
      </c>
      <c r="M548" s="13" t="s">
        <v>83</v>
      </c>
      <c r="N548" s="732" t="s">
        <v>120</v>
      </c>
      <c r="O548" s="733"/>
      <c r="P548" s="171">
        <f>IF(P554=0,0,P549/P554)</f>
        <v>0</v>
      </c>
      <c r="Q548" s="172">
        <f>IF(Q554=0,0,Q549/Q554)</f>
        <v>0</v>
      </c>
      <c r="T548" s="12" t="s">
        <v>82</v>
      </c>
      <c r="U548" s="13" t="s">
        <v>127</v>
      </c>
      <c r="V548" s="13" t="s">
        <v>83</v>
      </c>
      <c r="W548" s="13" t="s">
        <v>120</v>
      </c>
      <c r="X548" s="101"/>
      <c r="Y548" s="171">
        <f t="shared" ref="Y548:AB548" si="227">IF(Y554=0,0,Y549/Y554)</f>
        <v>0</v>
      </c>
      <c r="Z548" s="171">
        <f t="shared" si="227"/>
        <v>0</v>
      </c>
      <c r="AA548" s="171">
        <f t="shared" si="227"/>
        <v>0</v>
      </c>
      <c r="AB548" s="172">
        <f t="shared" si="227"/>
        <v>0</v>
      </c>
      <c r="AC548" s="183"/>
      <c r="AD548" s="183"/>
      <c r="AE548" s="183"/>
      <c r="AF548" s="183"/>
      <c r="AG548" s="183"/>
      <c r="AH548" s="183"/>
      <c r="AI548" s="183"/>
      <c r="AJ548" s="183"/>
      <c r="AK548" s="183"/>
      <c r="AL548" s="183"/>
      <c r="AM548" s="183"/>
      <c r="AN548" s="183"/>
    </row>
    <row r="549" spans="2:40" x14ac:dyDescent="0.25">
      <c r="B549" s="12" t="s">
        <v>84</v>
      </c>
      <c r="C549" s="13" t="s">
        <v>85</v>
      </c>
      <c r="D549" s="13" t="s">
        <v>10</v>
      </c>
      <c r="E549" s="732" t="s">
        <v>121</v>
      </c>
      <c r="F549" s="733"/>
      <c r="G549" s="448">
        <f>F531</f>
        <v>0</v>
      </c>
      <c r="H549" s="449">
        <f>H531</f>
        <v>0</v>
      </c>
      <c r="K549" s="12" t="s">
        <v>84</v>
      </c>
      <c r="L549" s="13" t="s">
        <v>85</v>
      </c>
      <c r="M549" s="13" t="s">
        <v>10</v>
      </c>
      <c r="N549" s="732" t="s">
        <v>121</v>
      </c>
      <c r="O549" s="733"/>
      <c r="P549" s="448">
        <f>O531</f>
        <v>0</v>
      </c>
      <c r="Q549" s="449">
        <f>Q531</f>
        <v>0</v>
      </c>
      <c r="T549" s="12" t="s">
        <v>84</v>
      </c>
      <c r="U549" s="13" t="s">
        <v>85</v>
      </c>
      <c r="V549" s="13" t="s">
        <v>10</v>
      </c>
      <c r="W549" s="13" t="s">
        <v>121</v>
      </c>
      <c r="X549" s="101"/>
      <c r="Y549" s="14">
        <f>W531</f>
        <v>0</v>
      </c>
      <c r="Z549" s="14">
        <f>X531</f>
        <v>0</v>
      </c>
      <c r="AA549" s="14">
        <f>Z531</f>
        <v>0</v>
      </c>
      <c r="AB549" s="15">
        <f>AA531</f>
        <v>0</v>
      </c>
      <c r="AC549" s="183"/>
      <c r="AD549" s="183"/>
      <c r="AE549" s="183"/>
      <c r="AF549" s="183"/>
      <c r="AG549" s="183"/>
      <c r="AH549" s="183"/>
      <c r="AI549" s="183"/>
      <c r="AJ549" s="183"/>
      <c r="AK549" s="183"/>
      <c r="AL549" s="183"/>
      <c r="AM549" s="183"/>
      <c r="AN549" s="183"/>
    </row>
    <row r="550" spans="2:40" x14ac:dyDescent="0.25">
      <c r="B550" s="12" t="s">
        <v>86</v>
      </c>
      <c r="C550" s="13" t="s">
        <v>87</v>
      </c>
      <c r="D550" s="13" t="s">
        <v>10</v>
      </c>
      <c r="E550" s="732"/>
      <c r="F550" s="733"/>
      <c r="G550" s="448">
        <f>IF(YEAR(Postup!$H$25)&gt;$D494,Provozování!AS$85,IF(AND(DAY(Postup!$H$25)=31,MONTH(Postup!$H$25)=12,YEAR(Postup!$H$25)=$D494),Provozování!AS$85,IF(YEAR(Postup!$H$25)=$D494,Provozování!$BL$85,0)))</f>
        <v>0</v>
      </c>
      <c r="H550" s="449">
        <f>IF(YEAR(Postup!$H$25)&gt;$D494,Provozování!AT$85,IF(AND(DAY(Postup!$H$25)=31,MONTH(Postup!$H$25)=12,YEAR(Postup!$H$25)=$D494),Provozování!AT$85,IF(YEAR(Postup!$H$25)=$D494,Provozování!$BM$85,0)))</f>
        <v>0</v>
      </c>
      <c r="K550" s="12" t="s">
        <v>86</v>
      </c>
      <c r="L550" s="13" t="s">
        <v>87</v>
      </c>
      <c r="M550" s="13" t="s">
        <v>10</v>
      </c>
      <c r="N550" s="732"/>
      <c r="O550" s="733"/>
      <c r="P550" s="448">
        <f>IF(Provozování!$AU$16="Neaktivní",0,Provozování!AU$85)</f>
        <v>0</v>
      </c>
      <c r="Q550" s="449">
        <f>IF(Provozování!AU$16="Neaktivní",0,Provozování!AV$85)</f>
        <v>0</v>
      </c>
      <c r="T550" s="12" t="s">
        <v>86</v>
      </c>
      <c r="U550" s="13" t="s">
        <v>87</v>
      </c>
      <c r="V550" s="13" t="s">
        <v>10</v>
      </c>
      <c r="W550" s="13"/>
      <c r="X550" s="101"/>
      <c r="Y550" s="595">
        <v>0</v>
      </c>
      <c r="Z550" s="14">
        <f>IF(Provozování!$AU$16="Neaktivní",G550,G550*Výpočty!$O$58+P550)</f>
        <v>0</v>
      </c>
      <c r="AA550" s="595">
        <v>0</v>
      </c>
      <c r="AB550" s="15">
        <f>IF(Provozování!$AU$16="Neaktivní",H550,H550*Výpočty!$O$58+Q550)</f>
        <v>0</v>
      </c>
      <c r="AC550" s="183"/>
      <c r="AD550" s="183"/>
      <c r="AE550" s="183"/>
      <c r="AF550" s="183"/>
      <c r="AG550" s="183"/>
      <c r="AH550" s="183"/>
      <c r="AI550" s="183"/>
      <c r="AJ550" s="183"/>
      <c r="AK550" s="183"/>
      <c r="AL550" s="183"/>
      <c r="AM550" s="183"/>
      <c r="AN550" s="183"/>
    </row>
    <row r="551" spans="2:40" x14ac:dyDescent="0.25">
      <c r="B551" s="12" t="s">
        <v>88</v>
      </c>
      <c r="C551" s="21" t="s">
        <v>89</v>
      </c>
      <c r="D551" s="13" t="s">
        <v>90</v>
      </c>
      <c r="E551" s="732" t="s">
        <v>123</v>
      </c>
      <c r="F551" s="733"/>
      <c r="G551" s="171">
        <f>IF(G549=0,0,G550/G549*100)</f>
        <v>0</v>
      </c>
      <c r="H551" s="172">
        <f>IF(H549=0,0,H550/H549*100)</f>
        <v>0</v>
      </c>
      <c r="K551" s="12" t="s">
        <v>88</v>
      </c>
      <c r="L551" s="21" t="s">
        <v>89</v>
      </c>
      <c r="M551" s="13" t="s">
        <v>90</v>
      </c>
      <c r="N551" s="732" t="s">
        <v>123</v>
      </c>
      <c r="O551" s="733"/>
      <c r="P551" s="171">
        <f>IF(P549=0,0,P550/P549*100)</f>
        <v>0</v>
      </c>
      <c r="Q551" s="172">
        <f>IF(Q549=0,0,Q550/Q549*100)</f>
        <v>0</v>
      </c>
      <c r="T551" s="12" t="s">
        <v>88</v>
      </c>
      <c r="U551" s="21" t="s">
        <v>89</v>
      </c>
      <c r="V551" s="13" t="s">
        <v>90</v>
      </c>
      <c r="W551" s="13" t="s">
        <v>123</v>
      </c>
      <c r="X551" s="101"/>
      <c r="Y551" s="171">
        <f t="shared" ref="Y551:AB551" si="228">IF(Y549=0,0,Y550/Y549*100)</f>
        <v>0</v>
      </c>
      <c r="Z551" s="171">
        <f t="shared" si="228"/>
        <v>0</v>
      </c>
      <c r="AA551" s="171">
        <f t="shared" si="228"/>
        <v>0</v>
      </c>
      <c r="AB551" s="172">
        <f t="shared" si="228"/>
        <v>0</v>
      </c>
      <c r="AC551" s="183"/>
      <c r="AD551" s="183"/>
      <c r="AE551" s="183"/>
      <c r="AF551" s="183"/>
      <c r="AG551" s="183"/>
      <c r="AH551" s="183"/>
      <c r="AI551" s="183"/>
      <c r="AJ551" s="183"/>
      <c r="AK551" s="183"/>
      <c r="AL551" s="183"/>
      <c r="AM551" s="183"/>
      <c r="AN551" s="183"/>
    </row>
    <row r="552" spans="2:40" x14ac:dyDescent="0.25">
      <c r="B552" s="12" t="s">
        <v>91</v>
      </c>
      <c r="C552" s="21" t="s">
        <v>92</v>
      </c>
      <c r="D552" s="13" t="s">
        <v>10</v>
      </c>
      <c r="E552" s="732"/>
      <c r="F552" s="733"/>
      <c r="G552" s="411">
        <v>0</v>
      </c>
      <c r="H552" s="136">
        <v>0</v>
      </c>
      <c r="K552" s="12" t="s">
        <v>91</v>
      </c>
      <c r="L552" s="21" t="s">
        <v>92</v>
      </c>
      <c r="M552" s="13" t="s">
        <v>10</v>
      </c>
      <c r="N552" s="732"/>
      <c r="O552" s="733"/>
      <c r="P552" s="411">
        <v>0</v>
      </c>
      <c r="Q552" s="136">
        <v>0</v>
      </c>
      <c r="T552" s="12" t="s">
        <v>91</v>
      </c>
      <c r="U552" s="21" t="s">
        <v>92</v>
      </c>
      <c r="V552" s="13" t="s">
        <v>10</v>
      </c>
      <c r="W552" s="13"/>
      <c r="X552" s="101"/>
      <c r="Y552" s="445">
        <v>0</v>
      </c>
      <c r="Z552" s="445">
        <v>0</v>
      </c>
      <c r="AA552" s="445">
        <v>0</v>
      </c>
      <c r="AB552" s="442">
        <v>0</v>
      </c>
      <c r="AC552" s="183"/>
      <c r="AD552" s="183"/>
      <c r="AE552" s="183"/>
      <c r="AF552" s="183"/>
      <c r="AG552" s="183"/>
      <c r="AH552" s="183"/>
      <c r="AI552" s="183"/>
      <c r="AJ552" s="183"/>
      <c r="AK552" s="183"/>
      <c r="AL552" s="183"/>
      <c r="AM552" s="183"/>
      <c r="AN552" s="183"/>
    </row>
    <row r="553" spans="2:40" x14ac:dyDescent="0.25">
      <c r="B553" s="12" t="s">
        <v>93</v>
      </c>
      <c r="C553" s="13" t="s">
        <v>94</v>
      </c>
      <c r="D553" s="13" t="s">
        <v>10</v>
      </c>
      <c r="E553" s="732" t="s">
        <v>122</v>
      </c>
      <c r="F553" s="733"/>
      <c r="G553" s="448">
        <f>G549+G550</f>
        <v>0</v>
      </c>
      <c r="H553" s="449">
        <f>H549+H550</f>
        <v>0</v>
      </c>
      <c r="K553" s="12" t="s">
        <v>93</v>
      </c>
      <c r="L553" s="13" t="s">
        <v>94</v>
      </c>
      <c r="M553" s="13" t="s">
        <v>10</v>
      </c>
      <c r="N553" s="732" t="s">
        <v>122</v>
      </c>
      <c r="O553" s="733"/>
      <c r="P553" s="448">
        <f>P549+P550</f>
        <v>0</v>
      </c>
      <c r="Q553" s="449">
        <f>Q549+Q550</f>
        <v>0</v>
      </c>
      <c r="T553" s="12" t="s">
        <v>93</v>
      </c>
      <c r="U553" s="13" t="s">
        <v>94</v>
      </c>
      <c r="V553" s="13" t="s">
        <v>10</v>
      </c>
      <c r="W553" s="13" t="s">
        <v>122</v>
      </c>
      <c r="X553" s="101"/>
      <c r="Y553" s="448">
        <f t="shared" ref="Y553:AB553" si="229">Y549+Y550</f>
        <v>0</v>
      </c>
      <c r="Z553" s="448">
        <f t="shared" si="229"/>
        <v>0</v>
      </c>
      <c r="AA553" s="448">
        <f t="shared" si="229"/>
        <v>0</v>
      </c>
      <c r="AB553" s="449">
        <f t="shared" si="229"/>
        <v>0</v>
      </c>
      <c r="AC553" s="183"/>
      <c r="AD553" s="183"/>
      <c r="AE553" s="183"/>
      <c r="AF553" s="183"/>
      <c r="AG553" s="183"/>
      <c r="AH553" s="183"/>
      <c r="AI553" s="183"/>
      <c r="AJ553" s="183"/>
      <c r="AK553" s="183"/>
      <c r="AL553" s="183"/>
      <c r="AM553" s="183"/>
      <c r="AN553" s="183"/>
    </row>
    <row r="554" spans="2:40" x14ac:dyDescent="0.25">
      <c r="B554" s="12" t="s">
        <v>95</v>
      </c>
      <c r="C554" s="13" t="s">
        <v>96</v>
      </c>
      <c r="D554" s="13" t="s">
        <v>66</v>
      </c>
      <c r="E554" s="732" t="s">
        <v>124</v>
      </c>
      <c r="F554" s="733"/>
      <c r="G554" s="448">
        <f>F535</f>
        <v>0</v>
      </c>
      <c r="H554" s="449">
        <f>H537+H539</f>
        <v>0</v>
      </c>
      <c r="K554" s="12" t="s">
        <v>95</v>
      </c>
      <c r="L554" s="13" t="s">
        <v>96</v>
      </c>
      <c r="M554" s="13" t="s">
        <v>66</v>
      </c>
      <c r="N554" s="732" t="s">
        <v>124</v>
      </c>
      <c r="O554" s="733"/>
      <c r="P554" s="448">
        <f>O535</f>
        <v>0</v>
      </c>
      <c r="Q554" s="449">
        <f>Q537+Q539</f>
        <v>0</v>
      </c>
      <c r="T554" s="12" t="s">
        <v>95</v>
      </c>
      <c r="U554" s="13" t="s">
        <v>96</v>
      </c>
      <c r="V554" s="13" t="s">
        <v>66</v>
      </c>
      <c r="W554" s="13" t="s">
        <v>124</v>
      </c>
      <c r="X554" s="101"/>
      <c r="Y554" s="14">
        <f>W535</f>
        <v>0</v>
      </c>
      <c r="Z554" s="14">
        <f>X535</f>
        <v>0</v>
      </c>
      <c r="AA554" s="14">
        <f>Z537+Z539</f>
        <v>0</v>
      </c>
      <c r="AB554" s="15">
        <f>AA537+AA539</f>
        <v>0</v>
      </c>
      <c r="AC554" s="183"/>
      <c r="AD554" s="183"/>
      <c r="AE554" s="183"/>
      <c r="AF554" s="183"/>
      <c r="AG554" s="183"/>
      <c r="AH554" s="183"/>
      <c r="AI554" s="183"/>
      <c r="AJ554" s="183"/>
      <c r="AK554" s="183"/>
      <c r="AL554" s="183"/>
      <c r="AM554" s="183"/>
      <c r="AN554" s="183"/>
    </row>
    <row r="555" spans="2:40" x14ac:dyDescent="0.25">
      <c r="B555" s="12" t="s">
        <v>97</v>
      </c>
      <c r="C555" s="13" t="s">
        <v>98</v>
      </c>
      <c r="D555" s="13" t="s">
        <v>83</v>
      </c>
      <c r="E555" s="732" t="s">
        <v>125</v>
      </c>
      <c r="F555" s="733"/>
      <c r="G555" s="171">
        <f>IF(G554=0,0,G553/G554)</f>
        <v>0</v>
      </c>
      <c r="H555" s="172">
        <f>IF(H554=0,0,H553/H554)</f>
        <v>0</v>
      </c>
      <c r="K555" s="12" t="s">
        <v>97</v>
      </c>
      <c r="L555" s="13" t="s">
        <v>98</v>
      </c>
      <c r="M555" s="13" t="s">
        <v>83</v>
      </c>
      <c r="N555" s="732" t="s">
        <v>125</v>
      </c>
      <c r="O555" s="733"/>
      <c r="P555" s="171">
        <f>IF(P554=0,0,P553/P554)</f>
        <v>0</v>
      </c>
      <c r="Q555" s="172">
        <f>IF(Q554=0,0,Q553/Q554)</f>
        <v>0</v>
      </c>
      <c r="T555" s="12" t="s">
        <v>97</v>
      </c>
      <c r="U555" s="13" t="s">
        <v>98</v>
      </c>
      <c r="V555" s="13" t="s">
        <v>83</v>
      </c>
      <c r="W555" s="13" t="s">
        <v>125</v>
      </c>
      <c r="X555" s="101"/>
      <c r="Y555" s="171">
        <f t="shared" ref="Y555:AB555" si="230">IF(Y554=0,0,Y553/Y554)</f>
        <v>0</v>
      </c>
      <c r="Z555" s="171">
        <f t="shared" si="230"/>
        <v>0</v>
      </c>
      <c r="AA555" s="171">
        <f t="shared" si="230"/>
        <v>0</v>
      </c>
      <c r="AB555" s="172">
        <f t="shared" si="230"/>
        <v>0</v>
      </c>
      <c r="AC555" s="183"/>
      <c r="AD555" s="183"/>
      <c r="AE555" s="183"/>
      <c r="AF555" s="183"/>
      <c r="AG555" s="183"/>
      <c r="AH555" s="183"/>
      <c r="AI555" s="183"/>
      <c r="AJ555" s="183"/>
      <c r="AK555" s="183"/>
      <c r="AL555" s="183"/>
      <c r="AM555" s="183"/>
      <c r="AN555" s="183"/>
    </row>
    <row r="556" spans="2:40" x14ac:dyDescent="0.25">
      <c r="B556" s="12" t="s">
        <v>99</v>
      </c>
      <c r="C556" s="13" t="str">
        <f>CONCATENATE("CENA pro vodné, stočné + ",Provozování!AS$93*100,"% DPH")</f>
        <v>CENA pro vodné, stočné + 15% DPH</v>
      </c>
      <c r="D556" s="13" t="s">
        <v>83</v>
      </c>
      <c r="E556" s="732" t="s">
        <v>126</v>
      </c>
      <c r="F556" s="733"/>
      <c r="G556" s="171">
        <f>G555*(1+Provozování!AS$93)</f>
        <v>0</v>
      </c>
      <c r="H556" s="172">
        <f>H555*(1+Provozování!AT$93)</f>
        <v>0</v>
      </c>
      <c r="K556" s="12" t="s">
        <v>99</v>
      </c>
      <c r="L556" s="13" t="str">
        <f>C556</f>
        <v>CENA pro vodné, stočné + 15% DPH</v>
      </c>
      <c r="M556" s="13" t="s">
        <v>83</v>
      </c>
      <c r="N556" s="732" t="s">
        <v>126</v>
      </c>
      <c r="O556" s="733"/>
      <c r="P556" s="171">
        <f>P555*(1+Provozování!AS$93)</f>
        <v>0</v>
      </c>
      <c r="Q556" s="172">
        <f>Q555*(1+Provozování!AT$93)</f>
        <v>0</v>
      </c>
      <c r="T556" s="12" t="s">
        <v>99</v>
      </c>
      <c r="U556" s="13" t="str">
        <f>C556</f>
        <v>CENA pro vodné, stočné + 15% DPH</v>
      </c>
      <c r="V556" s="13" t="s">
        <v>83</v>
      </c>
      <c r="W556" s="13" t="s">
        <v>126</v>
      </c>
      <c r="X556" s="101"/>
      <c r="Y556" s="171">
        <f>Y555*(1+Provozování!AS$93)</f>
        <v>0</v>
      </c>
      <c r="Z556" s="171">
        <f>Z555*(1+Provozování!AS$93)</f>
        <v>0</v>
      </c>
      <c r="AA556" s="171">
        <f>AA555*(1+Provozování!AT$93)</f>
        <v>0</v>
      </c>
      <c r="AB556" s="172">
        <f>AB555*(1+Provozování!AT$93)</f>
        <v>0</v>
      </c>
      <c r="AC556" s="183"/>
      <c r="AD556" s="183"/>
      <c r="AE556" s="183"/>
      <c r="AF556" s="183"/>
      <c r="AG556" s="183"/>
      <c r="AH556" s="183"/>
      <c r="AI556" s="183"/>
      <c r="AJ556" s="183"/>
      <c r="AK556" s="183"/>
      <c r="AL556" s="183"/>
      <c r="AM556" s="183"/>
      <c r="AN556" s="183"/>
    </row>
    <row r="557" spans="2:40" x14ac:dyDescent="0.25">
      <c r="E557" s="500"/>
      <c r="T557" s="916" t="s">
        <v>203</v>
      </c>
      <c r="U557" s="916" t="s">
        <v>202</v>
      </c>
      <c r="V557" s="744" t="s">
        <v>10</v>
      </c>
      <c r="W557" s="919" t="s">
        <v>204</v>
      </c>
      <c r="X557" s="732"/>
      <c r="Y557" s="102" t="s">
        <v>206</v>
      </c>
      <c r="Z557" s="105" t="s">
        <v>207</v>
      </c>
      <c r="AA557" s="102" t="s">
        <v>206</v>
      </c>
      <c r="AB557" s="105" t="s">
        <v>207</v>
      </c>
      <c r="AC557" s="183"/>
      <c r="AD557" s="183"/>
      <c r="AE557" s="183"/>
      <c r="AF557" s="183"/>
      <c r="AG557" s="183"/>
      <c r="AH557" s="183"/>
      <c r="AI557" s="183"/>
      <c r="AJ557" s="183"/>
      <c r="AK557" s="183"/>
      <c r="AL557" s="183"/>
      <c r="AM557" s="183"/>
      <c r="AN557" s="183"/>
    </row>
    <row r="558" spans="2:40" x14ac:dyDescent="0.25">
      <c r="B558" s="500" t="s">
        <v>354</v>
      </c>
      <c r="E558" s="500"/>
      <c r="T558" s="917"/>
      <c r="U558" s="917"/>
      <c r="V558" s="745"/>
      <c r="W558" s="920">
        <v>0</v>
      </c>
      <c r="X558" s="921"/>
      <c r="Y558" s="103">
        <f>W494</f>
        <v>2027</v>
      </c>
      <c r="Z558" s="103">
        <f>W494</f>
        <v>2027</v>
      </c>
      <c r="AA558" s="103">
        <f>W494</f>
        <v>2027</v>
      </c>
      <c r="AB558" s="103">
        <f>W494</f>
        <v>2027</v>
      </c>
      <c r="AC558" s="183"/>
      <c r="AD558" s="183"/>
      <c r="AE558" s="183"/>
      <c r="AF558" s="183"/>
      <c r="AG558" s="183"/>
      <c r="AH558" s="183"/>
      <c r="AI558" s="183"/>
      <c r="AJ558" s="183"/>
      <c r="AK558" s="183"/>
      <c r="AL558" s="183"/>
      <c r="AM558" s="183"/>
      <c r="AN558" s="183"/>
    </row>
    <row r="559" spans="2:40" x14ac:dyDescent="0.25">
      <c r="B559" s="500" t="s">
        <v>355</v>
      </c>
      <c r="T559" s="917"/>
      <c r="U559" s="917"/>
      <c r="V559" s="745"/>
      <c r="W559" s="919" t="s">
        <v>205</v>
      </c>
      <c r="X559" s="732"/>
      <c r="Y559" s="104" t="s">
        <v>208</v>
      </c>
      <c r="Z559" s="104" t="s">
        <v>208</v>
      </c>
      <c r="AA559" s="104" t="s">
        <v>209</v>
      </c>
      <c r="AB559" s="104" t="s">
        <v>209</v>
      </c>
      <c r="AC559" s="183"/>
      <c r="AD559" s="183"/>
      <c r="AE559" s="183"/>
      <c r="AF559" s="183"/>
      <c r="AG559" s="183"/>
      <c r="AH559" s="183"/>
      <c r="AI559" s="183"/>
      <c r="AJ559" s="183"/>
      <c r="AK559" s="183"/>
      <c r="AL559" s="183"/>
      <c r="AM559" s="183"/>
      <c r="AN559" s="183"/>
    </row>
    <row r="560" spans="2:40" x14ac:dyDescent="0.25">
      <c r="T560" s="918"/>
      <c r="U560" s="918"/>
      <c r="V560" s="746"/>
      <c r="W560" s="922">
        <v>0</v>
      </c>
      <c r="X560" s="920"/>
      <c r="Y560" s="597">
        <v>0</v>
      </c>
      <c r="Z560" s="597">
        <v>0</v>
      </c>
      <c r="AA560" s="597">
        <v>0</v>
      </c>
      <c r="AB560" s="597">
        <v>0</v>
      </c>
      <c r="AC560" s="183"/>
      <c r="AD560" s="183"/>
      <c r="AE560" s="183"/>
      <c r="AF560" s="183"/>
      <c r="AG560" s="183"/>
      <c r="AH560" s="183"/>
      <c r="AI560" s="183"/>
      <c r="AJ560" s="183"/>
      <c r="AK560" s="183"/>
      <c r="AL560" s="183"/>
      <c r="AM560" s="183"/>
      <c r="AN560" s="183"/>
    </row>
    <row r="561" spans="1:40" x14ac:dyDescent="0.25">
      <c r="A561" s="342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AC561" s="183"/>
      <c r="AD561" s="183"/>
      <c r="AE561" s="183"/>
      <c r="AF561" s="183"/>
      <c r="AG561" s="183"/>
      <c r="AH561" s="183"/>
      <c r="AI561" s="183"/>
      <c r="AJ561" s="183"/>
      <c r="AK561" s="183"/>
      <c r="AL561" s="183"/>
      <c r="AM561" s="183"/>
      <c r="AN561" s="183"/>
    </row>
    <row r="562" spans="1:40" x14ac:dyDescent="0.25">
      <c r="B562" s="726" t="s">
        <v>393</v>
      </c>
      <c r="C562" s="727"/>
      <c r="D562" s="727"/>
      <c r="E562" s="727"/>
      <c r="F562" s="727"/>
      <c r="G562" s="727"/>
      <c r="H562" s="727"/>
      <c r="K562" s="726" t="s">
        <v>394</v>
      </c>
      <c r="L562" s="727"/>
      <c r="M562" s="727"/>
      <c r="N562" s="727"/>
      <c r="O562" s="727"/>
      <c r="P562" s="727"/>
      <c r="Q562" s="727"/>
      <c r="T562" s="726" t="s">
        <v>210</v>
      </c>
      <c r="U562" s="727"/>
      <c r="V562" s="727"/>
      <c r="W562" s="727"/>
      <c r="X562" s="727"/>
      <c r="Y562" s="727"/>
      <c r="Z562" s="727"/>
      <c r="AA562" s="727"/>
      <c r="AB562" s="727"/>
      <c r="AC562" s="183"/>
      <c r="AD562" s="183"/>
      <c r="AE562" s="183"/>
      <c r="AF562" s="183"/>
      <c r="AG562" s="183"/>
      <c r="AH562" s="183"/>
      <c r="AI562" s="183"/>
      <c r="AJ562" s="183"/>
      <c r="AK562" s="183"/>
      <c r="AL562" s="183"/>
      <c r="AM562" s="183"/>
      <c r="AN562" s="183"/>
    </row>
    <row r="563" spans="1:40" x14ac:dyDescent="0.25">
      <c r="C563" s="362"/>
      <c r="E563" s="25"/>
      <c r="F563" s="25"/>
      <c r="L563" s="25"/>
      <c r="N563" s="25"/>
      <c r="T563" s="950" t="s">
        <v>395</v>
      </c>
      <c r="U563" s="950"/>
      <c r="V563" s="950"/>
      <c r="W563" s="950"/>
      <c r="X563" s="950"/>
      <c r="Y563" s="950"/>
      <c r="Z563" s="950"/>
      <c r="AA563" s="950"/>
      <c r="AB563" s="950"/>
      <c r="AC563" s="183"/>
      <c r="AD563" s="183"/>
      <c r="AE563" s="183"/>
      <c r="AF563" s="183"/>
      <c r="AG563" s="183"/>
      <c r="AH563" s="183"/>
      <c r="AI563" s="183"/>
      <c r="AJ563" s="183"/>
      <c r="AK563" s="183"/>
      <c r="AL563" s="183"/>
      <c r="AM563" s="183"/>
      <c r="AN563" s="183"/>
    </row>
    <row r="564" spans="1:40" x14ac:dyDescent="0.25">
      <c r="C564" s="362" t="s">
        <v>119</v>
      </c>
      <c r="D564" s="364">
        <f>D494+1</f>
        <v>2028</v>
      </c>
      <c r="E564" s="25"/>
      <c r="F564" s="362" t="s">
        <v>278</v>
      </c>
      <c r="G564" s="365" t="str">
        <f>Výpočty!P$56</f>
        <v>-</v>
      </c>
      <c r="H564" s="365" t="str">
        <f>IF(Výpočty!P$57="-"," ",CONCATENATE("- ",DAY(Výpočty!P$57),".",MONTH(Výpočty!P$57),".",D564))</f>
        <v xml:space="preserve"> </v>
      </c>
      <c r="L564" s="362" t="s">
        <v>119</v>
      </c>
      <c r="M564" s="364">
        <f>D564</f>
        <v>2028</v>
      </c>
      <c r="O564" s="362" t="s">
        <v>278</v>
      </c>
      <c r="P564" s="475" t="str">
        <f>Výpočty!P$52</f>
        <v>-</v>
      </c>
      <c r="Q564" s="475" t="str">
        <f>IF(P564="-"," ",H564)</f>
        <v xml:space="preserve"> </v>
      </c>
      <c r="T564" s="441"/>
      <c r="U564" s="441"/>
      <c r="V564" s="451" t="s">
        <v>195</v>
      </c>
      <c r="W564" s="364">
        <f>D564</f>
        <v>2028</v>
      </c>
      <c r="Z564" s="362" t="s">
        <v>278</v>
      </c>
      <c r="AA564" s="365" t="str">
        <f>G564</f>
        <v>-</v>
      </c>
      <c r="AB564" s="365" t="str">
        <f>H564</f>
        <v xml:space="preserve"> </v>
      </c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</row>
    <row r="565" spans="1:40" x14ac:dyDescent="0.25">
      <c r="B565" s="13" t="s">
        <v>74</v>
      </c>
      <c r="C565" s="13" t="s">
        <v>105</v>
      </c>
      <c r="D565" s="715" t="str">
        <f t="shared" ref="D565:D570" si="231">D495</f>
        <v/>
      </c>
      <c r="E565" s="716"/>
      <c r="F565" s="716"/>
      <c r="G565" s="716"/>
      <c r="H565" s="717"/>
      <c r="K565" s="13" t="s">
        <v>74</v>
      </c>
      <c r="L565" s="13" t="s">
        <v>105</v>
      </c>
      <c r="M565" s="949" t="str">
        <f t="shared" ref="M565:M567" si="232">D565</f>
        <v/>
      </c>
      <c r="N565" s="738"/>
      <c r="O565" s="738"/>
      <c r="P565" s="738"/>
      <c r="Q565" s="738"/>
      <c r="T565" s="13" t="s">
        <v>74</v>
      </c>
      <c r="U565" s="13" t="s">
        <v>105</v>
      </c>
      <c r="V565" s="949" t="str">
        <f t="shared" ref="V565:V567" si="233">D565</f>
        <v/>
      </c>
      <c r="W565" s="738"/>
      <c r="X565" s="738"/>
      <c r="Y565" s="738"/>
      <c r="Z565" s="738"/>
      <c r="AA565" s="738"/>
      <c r="AB565" s="738"/>
      <c r="AC565" s="183"/>
      <c r="AD565" s="183"/>
      <c r="AK565" s="183"/>
      <c r="AL565" s="183"/>
      <c r="AM565" s="183"/>
      <c r="AN565" s="183"/>
    </row>
    <row r="566" spans="1:40" x14ac:dyDescent="0.25">
      <c r="B566" s="13" t="s">
        <v>100</v>
      </c>
      <c r="C566" s="13" t="s">
        <v>106</v>
      </c>
      <c r="D566" s="715" t="str">
        <f t="shared" si="231"/>
        <v/>
      </c>
      <c r="E566" s="716"/>
      <c r="F566" s="716"/>
      <c r="G566" s="716"/>
      <c r="H566" s="717"/>
      <c r="K566" s="13" t="s">
        <v>100</v>
      </c>
      <c r="L566" s="13" t="s">
        <v>106</v>
      </c>
      <c r="M566" s="941" t="str">
        <f t="shared" si="232"/>
        <v/>
      </c>
      <c r="N566" s="942"/>
      <c r="O566" s="942"/>
      <c r="P566" s="942"/>
      <c r="Q566" s="943"/>
      <c r="T566" s="13" t="s">
        <v>100</v>
      </c>
      <c r="U566" s="13" t="s">
        <v>106</v>
      </c>
      <c r="V566" s="941" t="str">
        <f t="shared" si="233"/>
        <v/>
      </c>
      <c r="W566" s="942"/>
      <c r="X566" s="942"/>
      <c r="Y566" s="942"/>
      <c r="Z566" s="942"/>
      <c r="AA566" s="942"/>
      <c r="AB566" s="943"/>
      <c r="AC566" s="183"/>
      <c r="AD566" s="183"/>
      <c r="AK566" s="183"/>
      <c r="AL566" s="183"/>
      <c r="AM566" s="183"/>
      <c r="AN566" s="183"/>
    </row>
    <row r="567" spans="1:40" x14ac:dyDescent="0.25">
      <c r="B567" s="13" t="s">
        <v>101</v>
      </c>
      <c r="C567" s="13" t="s">
        <v>107</v>
      </c>
      <c r="D567" s="715" t="str">
        <f t="shared" si="231"/>
        <v xml:space="preserve">Město Kraslice, IČ </v>
      </c>
      <c r="E567" s="716"/>
      <c r="F567" s="716"/>
      <c r="G567" s="716"/>
      <c r="H567" s="717"/>
      <c r="K567" s="13" t="s">
        <v>101</v>
      </c>
      <c r="L567" s="13" t="s">
        <v>107</v>
      </c>
      <c r="M567" s="941" t="str">
        <f t="shared" si="232"/>
        <v xml:space="preserve">Město Kraslice, IČ </v>
      </c>
      <c r="N567" s="942"/>
      <c r="O567" s="942"/>
      <c r="P567" s="942"/>
      <c r="Q567" s="943"/>
      <c r="T567" s="13" t="s">
        <v>101</v>
      </c>
      <c r="U567" s="13" t="s">
        <v>107</v>
      </c>
      <c r="V567" s="941" t="str">
        <f t="shared" si="233"/>
        <v xml:space="preserve">Město Kraslice, IČ </v>
      </c>
      <c r="W567" s="942"/>
      <c r="X567" s="942"/>
      <c r="Y567" s="942"/>
      <c r="Z567" s="942"/>
      <c r="AA567" s="942"/>
      <c r="AB567" s="943"/>
      <c r="AC567" s="183"/>
      <c r="AD567" s="183"/>
      <c r="AK567" s="183"/>
      <c r="AL567" s="183"/>
      <c r="AM567" s="183"/>
      <c r="AN567" s="183"/>
    </row>
    <row r="568" spans="1:40" x14ac:dyDescent="0.25">
      <c r="B568" s="13" t="s">
        <v>102</v>
      </c>
      <c r="C568" s="13" t="s">
        <v>109</v>
      </c>
      <c r="D568" s="923" t="str">
        <f t="shared" si="231"/>
        <v>[vyplnit]</v>
      </c>
      <c r="E568" s="924"/>
      <c r="F568" s="924"/>
      <c r="G568" s="924"/>
      <c r="H568" s="925"/>
      <c r="K568" s="13" t="s">
        <v>102</v>
      </c>
      <c r="L568" s="13" t="s">
        <v>109</v>
      </c>
      <c r="M568" s="926" t="str">
        <f>IF($D568="[vyplnit]"," ",$D568)</f>
        <v xml:space="preserve"> </v>
      </c>
      <c r="N568" s="927"/>
      <c r="O568" s="927"/>
      <c r="P568" s="927"/>
      <c r="Q568" s="928"/>
      <c r="T568" s="13" t="s">
        <v>102</v>
      </c>
      <c r="U568" s="13" t="s">
        <v>109</v>
      </c>
      <c r="V568" s="933" t="str">
        <f>IF($D568="[vyplnit]"," ",$D568)</f>
        <v xml:space="preserve"> </v>
      </c>
      <c r="W568" s="933"/>
      <c r="X568" s="933"/>
      <c r="Y568" s="933"/>
      <c r="Z568" s="933"/>
      <c r="AA568" s="933"/>
      <c r="AB568" s="933"/>
      <c r="AC568" s="183"/>
      <c r="AD568" s="183"/>
      <c r="AK568" s="183"/>
      <c r="AL568" s="183"/>
      <c r="AM568" s="183"/>
      <c r="AN568" s="183"/>
    </row>
    <row r="569" spans="1:40" x14ac:dyDescent="0.25">
      <c r="B569" s="13" t="s">
        <v>103</v>
      </c>
      <c r="C569" s="13" t="s">
        <v>108</v>
      </c>
      <c r="D569" s="923" t="str">
        <f t="shared" si="231"/>
        <v>[vyplnit]</v>
      </c>
      <c r="E569" s="924"/>
      <c r="F569" s="924"/>
      <c r="G569" s="924"/>
      <c r="H569" s="925"/>
      <c r="K569" s="13" t="s">
        <v>103</v>
      </c>
      <c r="L569" s="13" t="s">
        <v>108</v>
      </c>
      <c r="M569" s="926" t="str">
        <f t="shared" ref="M569:M570" si="234">IF($D569="[vyplnit]"," ",$D569)</f>
        <v xml:space="preserve"> </v>
      </c>
      <c r="N569" s="927"/>
      <c r="O569" s="927"/>
      <c r="P569" s="927"/>
      <c r="Q569" s="928"/>
      <c r="T569" s="13" t="s">
        <v>103</v>
      </c>
      <c r="U569" s="13" t="s">
        <v>108</v>
      </c>
      <c r="V569" s="933" t="str">
        <f t="shared" ref="V569:V570" si="235">IF($D569="[vyplnit]"," ",$D569)</f>
        <v xml:space="preserve"> </v>
      </c>
      <c r="W569" s="933"/>
      <c r="X569" s="933"/>
      <c r="Y569" s="933"/>
      <c r="Z569" s="933"/>
      <c r="AA569" s="933"/>
      <c r="AB569" s="933"/>
      <c r="AC569" s="183"/>
      <c r="AD569" s="183"/>
      <c r="AK569" s="183"/>
      <c r="AL569" s="183"/>
      <c r="AM569" s="183"/>
      <c r="AN569" s="183"/>
    </row>
    <row r="570" spans="1:40" x14ac:dyDescent="0.25">
      <c r="B570" s="13" t="s">
        <v>104</v>
      </c>
      <c r="C570" s="13" t="s">
        <v>110</v>
      </c>
      <c r="D570" s="923" t="str">
        <f t="shared" si="231"/>
        <v>[vyplnit]</v>
      </c>
      <c r="E570" s="924"/>
      <c r="F570" s="924"/>
      <c r="G570" s="924"/>
      <c r="H570" s="925"/>
      <c r="K570" s="13" t="s">
        <v>104</v>
      </c>
      <c r="L570" s="13" t="s">
        <v>110</v>
      </c>
      <c r="M570" s="926" t="str">
        <f t="shared" si="234"/>
        <v xml:space="preserve"> </v>
      </c>
      <c r="N570" s="927"/>
      <c r="O570" s="927"/>
      <c r="P570" s="927"/>
      <c r="Q570" s="928"/>
      <c r="T570" s="13" t="s">
        <v>104</v>
      </c>
      <c r="U570" s="13" t="s">
        <v>110</v>
      </c>
      <c r="V570" s="933" t="str">
        <f t="shared" si="235"/>
        <v xml:space="preserve"> </v>
      </c>
      <c r="W570" s="933"/>
      <c r="X570" s="933"/>
      <c r="Y570" s="933"/>
      <c r="Z570" s="933"/>
      <c r="AA570" s="933"/>
      <c r="AB570" s="933"/>
      <c r="AC570" s="183"/>
      <c r="AD570" s="183"/>
      <c r="AK570" s="183"/>
      <c r="AL570" s="183"/>
      <c r="AM570" s="183"/>
      <c r="AN570" s="183"/>
    </row>
    <row r="571" spans="1:40" x14ac:dyDescent="0.25">
      <c r="AC571" s="183"/>
      <c r="AK571" s="183"/>
      <c r="AL571" s="183"/>
      <c r="AM571" s="183"/>
      <c r="AN571" s="183"/>
    </row>
    <row r="572" spans="1:40" x14ac:dyDescent="0.25">
      <c r="B572" s="932" t="s">
        <v>5</v>
      </c>
      <c r="C572" s="721" t="s">
        <v>0</v>
      </c>
      <c r="D572" s="722"/>
      <c r="E572" s="722"/>
      <c r="F572" s="722"/>
      <c r="G572" s="722"/>
      <c r="H572" s="725"/>
      <c r="K572" s="932" t="s">
        <v>5</v>
      </c>
      <c r="L572" s="721" t="s">
        <v>0</v>
      </c>
      <c r="M572" s="722"/>
      <c r="N572" s="722"/>
      <c r="O572" s="722"/>
      <c r="P572" s="722"/>
      <c r="Q572" s="725"/>
      <c r="T572" s="932" t="s">
        <v>5</v>
      </c>
      <c r="U572" s="721" t="s">
        <v>0</v>
      </c>
      <c r="V572" s="722"/>
      <c r="W572" s="722"/>
      <c r="X572" s="722"/>
      <c r="Y572" s="722"/>
      <c r="Z572" s="722"/>
      <c r="AA572" s="722"/>
      <c r="AB572" s="725"/>
      <c r="AC572" s="183"/>
      <c r="AK572" s="183"/>
      <c r="AL572" s="183"/>
      <c r="AM572" s="183"/>
      <c r="AN572" s="183"/>
    </row>
    <row r="573" spans="1:40" x14ac:dyDescent="0.25">
      <c r="B573" s="930"/>
      <c r="C573" s="932" t="s">
        <v>1</v>
      </c>
      <c r="D573" s="929" t="s">
        <v>173</v>
      </c>
      <c r="E573" s="721" t="s">
        <v>3</v>
      </c>
      <c r="F573" s="722"/>
      <c r="G573" s="721" t="s">
        <v>4</v>
      </c>
      <c r="H573" s="725"/>
      <c r="K573" s="930"/>
      <c r="L573" s="932" t="s">
        <v>1</v>
      </c>
      <c r="M573" s="929" t="s">
        <v>173</v>
      </c>
      <c r="N573" s="721" t="s">
        <v>3</v>
      </c>
      <c r="O573" s="722"/>
      <c r="P573" s="721" t="s">
        <v>4</v>
      </c>
      <c r="Q573" s="725"/>
      <c r="T573" s="930"/>
      <c r="U573" s="932" t="s">
        <v>1</v>
      </c>
      <c r="V573" s="929" t="s">
        <v>173</v>
      </c>
      <c r="W573" s="721" t="s">
        <v>3</v>
      </c>
      <c r="X573" s="722"/>
      <c r="Y573" s="722"/>
      <c r="Z573" s="721" t="s">
        <v>4</v>
      </c>
      <c r="AA573" s="722"/>
      <c r="AB573" s="725"/>
      <c r="AC573" s="183"/>
      <c r="AK573" s="183"/>
      <c r="AL573" s="183"/>
      <c r="AM573" s="183"/>
      <c r="AN573" s="183"/>
    </row>
    <row r="574" spans="1:40" x14ac:dyDescent="0.25">
      <c r="B574" s="930"/>
      <c r="C574" s="930"/>
      <c r="D574" s="930"/>
      <c r="E574" s="30">
        <f>D564-1</f>
        <v>2027</v>
      </c>
      <c r="F574" s="30">
        <f>D564</f>
        <v>2028</v>
      </c>
      <c r="G574" s="30">
        <f>D564-1</f>
        <v>2027</v>
      </c>
      <c r="H574" s="30">
        <f>D564</f>
        <v>2028</v>
      </c>
      <c r="K574" s="930"/>
      <c r="L574" s="930"/>
      <c r="M574" s="930"/>
      <c r="N574" s="30">
        <f>M564-1</f>
        <v>2027</v>
      </c>
      <c r="O574" s="30">
        <f>M564</f>
        <v>2028</v>
      </c>
      <c r="P574" s="30">
        <f>M564-1</f>
        <v>2027</v>
      </c>
      <c r="Q574" s="30">
        <f>M564</f>
        <v>2028</v>
      </c>
      <c r="T574" s="930"/>
      <c r="U574" s="930"/>
      <c r="V574" s="930"/>
      <c r="W574" s="30">
        <f>W564</f>
        <v>2028</v>
      </c>
      <c r="X574" s="30">
        <f>W564</f>
        <v>2028</v>
      </c>
      <c r="Y574" s="30">
        <f>W564</f>
        <v>2028</v>
      </c>
      <c r="Z574" s="30">
        <f>W564</f>
        <v>2028</v>
      </c>
      <c r="AA574" s="30">
        <f>W564</f>
        <v>2028</v>
      </c>
      <c r="AB574" s="30">
        <f>W564</f>
        <v>2028</v>
      </c>
      <c r="AC574" s="183"/>
      <c r="AK574" s="183"/>
      <c r="AL574" s="183"/>
      <c r="AM574" s="183"/>
      <c r="AN574" s="183"/>
    </row>
    <row r="575" spans="1:40" x14ac:dyDescent="0.25">
      <c r="B575" s="931"/>
      <c r="C575" s="931"/>
      <c r="D575" s="931"/>
      <c r="E575" s="7" t="s">
        <v>199</v>
      </c>
      <c r="F575" s="7" t="s">
        <v>114</v>
      </c>
      <c r="G575" s="7" t="s">
        <v>199</v>
      </c>
      <c r="H575" s="19" t="s">
        <v>114</v>
      </c>
      <c r="K575" s="931"/>
      <c r="L575" s="931"/>
      <c r="M575" s="931"/>
      <c r="N575" s="7" t="s">
        <v>199</v>
      </c>
      <c r="O575" s="7" t="s">
        <v>114</v>
      </c>
      <c r="P575" s="7" t="s">
        <v>199</v>
      </c>
      <c r="Q575" s="19" t="s">
        <v>114</v>
      </c>
      <c r="T575" s="931"/>
      <c r="U575" s="931"/>
      <c r="V575" s="931"/>
      <c r="W575" s="7" t="s">
        <v>198</v>
      </c>
      <c r="X575" s="7" t="s">
        <v>114</v>
      </c>
      <c r="Y575" s="7" t="s">
        <v>197</v>
      </c>
      <c r="Z575" s="7" t="s">
        <v>198</v>
      </c>
      <c r="AA575" s="7" t="s">
        <v>114</v>
      </c>
      <c r="AB575" s="19" t="s">
        <v>197</v>
      </c>
      <c r="AC575" s="183"/>
      <c r="AK575" s="183"/>
      <c r="AL575" s="183"/>
      <c r="AM575" s="183"/>
      <c r="AN575" s="183"/>
    </row>
    <row r="576" spans="1:40" x14ac:dyDescent="0.25">
      <c r="B576" s="11">
        <v>1</v>
      </c>
      <c r="C576" s="11">
        <v>2</v>
      </c>
      <c r="D576" s="11" t="s">
        <v>111</v>
      </c>
      <c r="E576" s="11">
        <v>3</v>
      </c>
      <c r="F576" s="11">
        <v>4</v>
      </c>
      <c r="G576" s="11">
        <v>6</v>
      </c>
      <c r="H576" s="22">
        <v>7</v>
      </c>
      <c r="K576" s="11">
        <v>1</v>
      </c>
      <c r="L576" s="11">
        <v>2</v>
      </c>
      <c r="M576" s="11" t="s">
        <v>111</v>
      </c>
      <c r="N576" s="11">
        <v>3</v>
      </c>
      <c r="O576" s="11">
        <v>4</v>
      </c>
      <c r="P576" s="11">
        <v>6</v>
      </c>
      <c r="Q576" s="22">
        <v>7</v>
      </c>
      <c r="T576" s="11">
        <v>1</v>
      </c>
      <c r="U576" s="11">
        <v>2</v>
      </c>
      <c r="V576" s="11" t="s">
        <v>111</v>
      </c>
      <c r="W576" s="11">
        <v>3</v>
      </c>
      <c r="X576" s="11">
        <v>4</v>
      </c>
      <c r="Y576" s="11">
        <v>5</v>
      </c>
      <c r="Z576" s="11">
        <v>6</v>
      </c>
      <c r="AA576" s="11">
        <v>7</v>
      </c>
      <c r="AB576" s="22">
        <v>8</v>
      </c>
      <c r="AC576" s="183"/>
      <c r="AK576" s="183"/>
      <c r="AL576" s="183"/>
      <c r="AM576" s="183"/>
      <c r="AN576" s="183"/>
    </row>
    <row r="577" spans="2:40" x14ac:dyDescent="0.25">
      <c r="B577" s="9" t="s">
        <v>8</v>
      </c>
      <c r="C577" s="10" t="s">
        <v>9</v>
      </c>
      <c r="D577" s="11" t="s">
        <v>10</v>
      </c>
      <c r="E577" s="46">
        <f>SUM(E578:E581)</f>
        <v>0</v>
      </c>
      <c r="F577" s="46">
        <f>SUM(F578:F581)</f>
        <v>0</v>
      </c>
      <c r="G577" s="46">
        <f>SUM(G578:G581)</f>
        <v>0</v>
      </c>
      <c r="H577" s="98">
        <f>SUM(H578:H581)</f>
        <v>0</v>
      </c>
      <c r="K577" s="9" t="s">
        <v>8</v>
      </c>
      <c r="L577" s="10" t="s">
        <v>9</v>
      </c>
      <c r="M577" s="11" t="s">
        <v>10</v>
      </c>
      <c r="N577" s="46">
        <f>SUM(N578:N581)</f>
        <v>0</v>
      </c>
      <c r="O577" s="46">
        <f>SUM(O578:O581)</f>
        <v>0</v>
      </c>
      <c r="P577" s="46">
        <f>SUM(P578:P581)</f>
        <v>0</v>
      </c>
      <c r="Q577" s="98">
        <f>SUM(Q578:Q581)</f>
        <v>0</v>
      </c>
      <c r="T577" s="9" t="s">
        <v>8</v>
      </c>
      <c r="U577" s="10" t="s">
        <v>9</v>
      </c>
      <c r="V577" s="11" t="s">
        <v>10</v>
      </c>
      <c r="W577" s="98">
        <f t="shared" ref="W577:AB577" si="236">SUM(W578:W581)</f>
        <v>0</v>
      </c>
      <c r="X577" s="98">
        <f t="shared" si="236"/>
        <v>0</v>
      </c>
      <c r="Y577" s="98">
        <f t="shared" si="236"/>
        <v>0</v>
      </c>
      <c r="Z577" s="98">
        <f t="shared" si="236"/>
        <v>0</v>
      </c>
      <c r="AA577" s="98">
        <f t="shared" si="236"/>
        <v>0</v>
      </c>
      <c r="AB577" s="98">
        <f t="shared" si="236"/>
        <v>0</v>
      </c>
      <c r="AC577" s="183"/>
      <c r="AK577" s="183"/>
      <c r="AL577" s="183"/>
      <c r="AM577" s="183"/>
      <c r="AN577" s="183"/>
    </row>
    <row r="578" spans="2:40" x14ac:dyDescent="0.25">
      <c r="B578" s="12" t="s">
        <v>11</v>
      </c>
      <c r="C578" s="13" t="s">
        <v>12</v>
      </c>
      <c r="D578" s="3" t="s">
        <v>10</v>
      </c>
      <c r="E578" s="49">
        <v>0</v>
      </c>
      <c r="F578" s="49">
        <f>IF(YEAR(Postup!$H$25)&gt;$D$564,Provozování!AX23,IF(AND(DAY(Postup!$H$25)=31,MONTH(Postup!$H$25)=12,YEAR(Postup!$H$25)=$D$564),Provozování!AX23,IF(YEAR(Postup!$H$25)=$D$564,Provozování!$BL23,0)))</f>
        <v>0</v>
      </c>
      <c r="G578" s="49">
        <v>0</v>
      </c>
      <c r="H578" s="442">
        <v>0</v>
      </c>
      <c r="K578" s="12" t="s">
        <v>11</v>
      </c>
      <c r="L578" s="13" t="s">
        <v>12</v>
      </c>
      <c r="M578" s="3" t="s">
        <v>10</v>
      </c>
      <c r="N578" s="49">
        <v>0</v>
      </c>
      <c r="O578" s="49">
        <f>IF(Provozování!$AZ$16="Neaktivní",0,Provozování!AZ23)</f>
        <v>0</v>
      </c>
      <c r="P578" s="49">
        <v>0</v>
      </c>
      <c r="Q578" s="442">
        <v>0</v>
      </c>
      <c r="T578" s="12" t="s">
        <v>11</v>
      </c>
      <c r="U578" s="13" t="s">
        <v>12</v>
      </c>
      <c r="V578" s="3" t="s">
        <v>10</v>
      </c>
      <c r="W578" s="595">
        <v>0</v>
      </c>
      <c r="X578" s="49">
        <f>IF(Provozování!$AX$16="Neaktivní",F578,F578*Výpočty!$P$58+O578)</f>
        <v>0</v>
      </c>
      <c r="Y578" s="49">
        <f>W578-X578</f>
        <v>0</v>
      </c>
      <c r="Z578" s="445">
        <v>0</v>
      </c>
      <c r="AA578" s="445">
        <v>0</v>
      </c>
      <c r="AB578" s="442">
        <v>0</v>
      </c>
      <c r="AC578" s="183"/>
      <c r="AK578" s="183"/>
      <c r="AL578" s="183"/>
      <c r="AM578" s="183"/>
      <c r="AN578" s="183"/>
    </row>
    <row r="579" spans="2:40" x14ac:dyDescent="0.25">
      <c r="B579" s="12" t="s">
        <v>13</v>
      </c>
      <c r="C579" s="12" t="s">
        <v>14</v>
      </c>
      <c r="D579" s="3" t="s">
        <v>10</v>
      </c>
      <c r="E579" s="58">
        <v>0</v>
      </c>
      <c r="F579" s="49">
        <f>IF(YEAR(Postup!$H$25)&gt;$D$564,Provozování!AX24,IF(AND(DAY(Postup!$H$25)=31,MONTH(Postup!$H$25)=12,YEAR(Postup!$H$25)=$D$564),Provozování!AX24,IF(YEAR(Postup!$H$25)=$D$564,Provozování!$BL24,0)))</f>
        <v>0</v>
      </c>
      <c r="G579" s="58">
        <v>0</v>
      </c>
      <c r="H579" s="32">
        <f>IF(YEAR(Postup!$H$25)&gt;$D$564,Provozování!AY24,IF(AND(DAY(Postup!$H$25)=31,MONTH(Postup!$H$25)=12,YEAR(Postup!$H$25)=$D$564),Provozování!AY24,IF(YEAR(Postup!$H$25)=$D$564,Provozování!$BM24,0)))</f>
        <v>0</v>
      </c>
      <c r="K579" s="12" t="s">
        <v>13</v>
      </c>
      <c r="L579" s="12" t="s">
        <v>14</v>
      </c>
      <c r="M579" s="3" t="s">
        <v>10</v>
      </c>
      <c r="N579" s="58">
        <v>0</v>
      </c>
      <c r="O579" s="49">
        <f>IF(Provozování!$AZ$16="Neaktivní",0,Provozování!AZ24)</f>
        <v>0</v>
      </c>
      <c r="P579" s="58">
        <v>0</v>
      </c>
      <c r="Q579" s="59">
        <f>IF(Provozování!$AZ$16="Neaktivní",0,Provozování!BA24)</f>
        <v>0</v>
      </c>
      <c r="T579" s="12" t="s">
        <v>13</v>
      </c>
      <c r="U579" s="12" t="s">
        <v>14</v>
      </c>
      <c r="V579" s="3" t="s">
        <v>10</v>
      </c>
      <c r="W579" s="596">
        <v>0</v>
      </c>
      <c r="X579" s="49">
        <f>IF(Provozování!$AX$16="Neaktivní",F579,F579*Výpočty!$P$58+O579)</f>
        <v>0</v>
      </c>
      <c r="Y579" s="49">
        <f t="shared" ref="Y579:Y581" si="237">W579-X579</f>
        <v>0</v>
      </c>
      <c r="Z579" s="596">
        <v>0</v>
      </c>
      <c r="AA579" s="49">
        <f>IF(Provozování!$AX$16="Neaktivní",H579,H579*Výpočty!$P$58+Q579)</f>
        <v>0</v>
      </c>
      <c r="AB579" s="32">
        <f t="shared" ref="AB579:AB581" si="238">Z579-AA579</f>
        <v>0</v>
      </c>
      <c r="AC579" s="183"/>
      <c r="AK579" s="183"/>
      <c r="AL579" s="183"/>
      <c r="AM579" s="183"/>
      <c r="AN579" s="183"/>
    </row>
    <row r="580" spans="2:40" x14ac:dyDescent="0.25">
      <c r="B580" s="12" t="s">
        <v>15</v>
      </c>
      <c r="C580" s="13" t="s">
        <v>16</v>
      </c>
      <c r="D580" s="3" t="s">
        <v>10</v>
      </c>
      <c r="E580" s="32">
        <v>0</v>
      </c>
      <c r="F580" s="590">
        <f>IF(YEAR(Postup!$H$25)&gt;$D$564,Provozování!AX25,IF(AND(DAY(Postup!$H$25)=31,MONTH(Postup!$H$25)=12,YEAR(Postup!$H$25)=$D$564),Provozování!AX25,IF(YEAR(Postup!$H$25)=$D$564,Provozování!$BL25,0)))</f>
        <v>0</v>
      </c>
      <c r="G580" s="32">
        <v>0</v>
      </c>
      <c r="H580" s="590">
        <f>IF(YEAR(Postup!$H$25)&gt;$D$564,Provozování!AY25,IF(AND(DAY(Postup!$H$25)=31,MONTH(Postup!$H$25)=12,YEAR(Postup!$H$25)=$D$564),Provozování!AY25,IF(YEAR(Postup!$H$25)=$D$564,Provozování!$BM25,0)))</f>
        <v>0</v>
      </c>
      <c r="K580" s="12" t="s">
        <v>15</v>
      </c>
      <c r="L580" s="13" t="s">
        <v>16</v>
      </c>
      <c r="M580" s="3" t="s">
        <v>10</v>
      </c>
      <c r="N580" s="32">
        <v>0</v>
      </c>
      <c r="O580" s="443">
        <f>IF(Provozování!$AZ$16="Neaktivní",0,Provozování!AZ25)</f>
        <v>0</v>
      </c>
      <c r="P580" s="32">
        <v>0</v>
      </c>
      <c r="Q580" s="443">
        <f>IF(Provozování!$AZ$16="Neaktivní",0,Provozování!BA25)</f>
        <v>0</v>
      </c>
      <c r="T580" s="12" t="s">
        <v>15</v>
      </c>
      <c r="U580" s="13" t="s">
        <v>16</v>
      </c>
      <c r="V580" s="3" t="s">
        <v>10</v>
      </c>
      <c r="W580" s="597">
        <v>0</v>
      </c>
      <c r="X580" s="49">
        <f>IF(Provozování!$AX$16="Neaktivní",F580,F580*Výpočty!$P$58+O580)</f>
        <v>0</v>
      </c>
      <c r="Y580" s="49">
        <f t="shared" si="237"/>
        <v>0</v>
      </c>
      <c r="Z580" s="597">
        <v>0</v>
      </c>
      <c r="AA580" s="49">
        <f>IF(Provozování!$AX$16="Neaktivní",H580,H580*Výpočty!$P$58+Q580)</f>
        <v>0</v>
      </c>
      <c r="AB580" s="32">
        <f t="shared" si="238"/>
        <v>0</v>
      </c>
      <c r="AC580" s="183"/>
      <c r="AK580" s="183"/>
      <c r="AL580" s="183"/>
      <c r="AM580" s="183"/>
      <c r="AN580" s="183"/>
    </row>
    <row r="581" spans="2:40" x14ac:dyDescent="0.25">
      <c r="B581" s="12" t="s">
        <v>17</v>
      </c>
      <c r="C581" s="13" t="s">
        <v>18</v>
      </c>
      <c r="D581" s="3" t="s">
        <v>10</v>
      </c>
      <c r="E581" s="99">
        <v>0</v>
      </c>
      <c r="F581" s="590">
        <f>IF(YEAR(Postup!$H$25)&gt;$D$564,Provozování!AX26,IF(AND(DAY(Postup!$H$25)=31,MONTH(Postup!$H$25)=12,YEAR(Postup!$H$25)=$D$564),Provozování!AX26,IF(YEAR(Postup!$H$25)=$D$564,Provozování!$BL26,0)))</f>
        <v>0</v>
      </c>
      <c r="G581" s="99">
        <v>0</v>
      </c>
      <c r="H581" s="590">
        <f>IF(YEAR(Postup!$H$25)&gt;$D$564,Provozování!AY26,IF(AND(DAY(Postup!$H$25)=31,MONTH(Postup!$H$25)=12,YEAR(Postup!$H$25)=$D$564),Provozování!AY26,IF(YEAR(Postup!$H$25)=$D$564,Provozování!$BM26,0)))</f>
        <v>0</v>
      </c>
      <c r="K581" s="12" t="s">
        <v>17</v>
      </c>
      <c r="L581" s="13" t="s">
        <v>18</v>
      </c>
      <c r="M581" s="3" t="s">
        <v>10</v>
      </c>
      <c r="N581" s="99">
        <v>0</v>
      </c>
      <c r="O581" s="443">
        <f>IF(Provozování!$AZ$16="Neaktivní",0,Provozování!AZ26)</f>
        <v>0</v>
      </c>
      <c r="P581" s="99">
        <v>0</v>
      </c>
      <c r="Q581" s="443">
        <f>IF(Provozování!$AZ$16="Neaktivní",0,Provozování!BA26)</f>
        <v>0</v>
      </c>
      <c r="T581" s="12" t="s">
        <v>17</v>
      </c>
      <c r="U581" s="13" t="s">
        <v>18</v>
      </c>
      <c r="V581" s="3" t="s">
        <v>10</v>
      </c>
      <c r="W581" s="598">
        <v>0</v>
      </c>
      <c r="X581" s="49">
        <f>IF(Provozování!$AX$16="Neaktivní",F581,F581*Výpočty!$P$58+O581)</f>
        <v>0</v>
      </c>
      <c r="Y581" s="49">
        <f t="shared" si="237"/>
        <v>0</v>
      </c>
      <c r="Z581" s="598">
        <v>0</v>
      </c>
      <c r="AA581" s="49">
        <f>IF(Provozování!$AX$16="Neaktivní",H581,H581*Výpočty!$P$58+Q581)</f>
        <v>0</v>
      </c>
      <c r="AB581" s="32">
        <f t="shared" si="238"/>
        <v>0</v>
      </c>
      <c r="AC581" s="183"/>
      <c r="AK581" s="183"/>
      <c r="AL581" s="183"/>
      <c r="AM581" s="183"/>
      <c r="AN581" s="183"/>
    </row>
    <row r="582" spans="2:40" x14ac:dyDescent="0.25">
      <c r="B582" s="9" t="s">
        <v>19</v>
      </c>
      <c r="C582" s="10" t="s">
        <v>20</v>
      </c>
      <c r="D582" s="11" t="s">
        <v>10</v>
      </c>
      <c r="E582" s="100">
        <f>SUM(E583:E584)</f>
        <v>0</v>
      </c>
      <c r="F582" s="100">
        <f>SUM(F583:F584)</f>
        <v>0</v>
      </c>
      <c r="G582" s="100">
        <f>SUM(G583:G584)</f>
        <v>0</v>
      </c>
      <c r="H582" s="98">
        <f>SUM(H583:H584)</f>
        <v>0</v>
      </c>
      <c r="K582" s="9" t="s">
        <v>19</v>
      </c>
      <c r="L582" s="10" t="s">
        <v>20</v>
      </c>
      <c r="M582" s="11" t="s">
        <v>10</v>
      </c>
      <c r="N582" s="100">
        <f>SUM(N583:N584)</f>
        <v>0</v>
      </c>
      <c r="O582" s="100">
        <f>SUM(O583:O584)</f>
        <v>0</v>
      </c>
      <c r="P582" s="100">
        <f>SUM(P583:P584)</f>
        <v>0</v>
      </c>
      <c r="Q582" s="98">
        <f>SUM(Q583:Q584)</f>
        <v>0</v>
      </c>
      <c r="T582" s="9" t="s">
        <v>19</v>
      </c>
      <c r="U582" s="10" t="s">
        <v>20</v>
      </c>
      <c r="V582" s="11" t="s">
        <v>10</v>
      </c>
      <c r="W582" s="98">
        <f t="shared" ref="W582:AB582" si="239">SUM(W583:W584)</f>
        <v>0</v>
      </c>
      <c r="X582" s="98">
        <f t="shared" si="239"/>
        <v>0</v>
      </c>
      <c r="Y582" s="98">
        <f t="shared" si="239"/>
        <v>0</v>
      </c>
      <c r="Z582" s="98">
        <f t="shared" si="239"/>
        <v>0</v>
      </c>
      <c r="AA582" s="98">
        <f t="shared" si="239"/>
        <v>0</v>
      </c>
      <c r="AB582" s="98">
        <f t="shared" si="239"/>
        <v>0</v>
      </c>
      <c r="AC582" s="183"/>
      <c r="AK582" s="183"/>
      <c r="AL582" s="183"/>
      <c r="AM582" s="183"/>
      <c r="AN582" s="183"/>
    </row>
    <row r="583" spans="2:40" x14ac:dyDescent="0.25">
      <c r="B583" s="12" t="s">
        <v>21</v>
      </c>
      <c r="C583" s="12" t="s">
        <v>22</v>
      </c>
      <c r="D583" s="3" t="s">
        <v>10</v>
      </c>
      <c r="E583" s="32">
        <v>0</v>
      </c>
      <c r="F583" s="590">
        <f>IF(YEAR(Postup!$H$25)&gt;$D$564,Provozování!AX28,IF(AND(DAY(Postup!$H$25)=31,MONTH(Postup!$H$25)=12,YEAR(Postup!$H$25)=$D$564),Provozování!AX28,IF(YEAR(Postup!$H$25)=$D$564,Provozování!$BL28,0)))</f>
        <v>0</v>
      </c>
      <c r="G583" s="32">
        <v>0</v>
      </c>
      <c r="H583" s="590">
        <f>IF(YEAR(Postup!$H$25)&gt;$D$564,Provozování!AY28,IF(AND(DAY(Postup!$H$25)=31,MONTH(Postup!$H$25)=12,YEAR(Postup!$H$25)=$D$564),Provozování!AY28,IF(YEAR(Postup!$H$25)=$D$564,Provozování!$BM28,0)))</f>
        <v>0</v>
      </c>
      <c r="K583" s="12" t="s">
        <v>21</v>
      </c>
      <c r="L583" s="12" t="s">
        <v>22</v>
      </c>
      <c r="M583" s="3" t="s">
        <v>10</v>
      </c>
      <c r="N583" s="32">
        <v>0</v>
      </c>
      <c r="O583" s="443">
        <f>IF(Provozování!$AZ$16="Neaktivní",0,Provozování!AZ28)</f>
        <v>0</v>
      </c>
      <c r="P583" s="32">
        <v>0</v>
      </c>
      <c r="Q583" s="443">
        <f>IF(Provozování!$AZ$16="Neaktivní",0,Provozování!BA28)</f>
        <v>0</v>
      </c>
      <c r="T583" s="12" t="s">
        <v>21</v>
      </c>
      <c r="U583" s="12" t="s">
        <v>22</v>
      </c>
      <c r="V583" s="3" t="s">
        <v>10</v>
      </c>
      <c r="W583" s="595">
        <v>0</v>
      </c>
      <c r="X583" s="49">
        <f>IF(Provozování!$AX$16="Neaktivní",F583,F583*Výpočty!$P$58+O583)</f>
        <v>0</v>
      </c>
      <c r="Y583" s="49">
        <f t="shared" ref="Y583:Y584" si="240">W583-X583</f>
        <v>0</v>
      </c>
      <c r="Z583" s="597">
        <v>0</v>
      </c>
      <c r="AA583" s="49">
        <f>IF(Provozování!$AX$16="Neaktivní",H583,H583*Výpočty!$P$58+Q583)</f>
        <v>0</v>
      </c>
      <c r="AB583" s="32">
        <f t="shared" ref="AB583:AB584" si="241">Z583-AA583</f>
        <v>0</v>
      </c>
      <c r="AC583" s="183"/>
      <c r="AK583" s="183"/>
      <c r="AL583" s="183"/>
      <c r="AM583" s="183"/>
      <c r="AN583" s="183"/>
    </row>
    <row r="584" spans="2:40" x14ac:dyDescent="0.25">
      <c r="B584" s="12" t="s">
        <v>23</v>
      </c>
      <c r="C584" s="12" t="s">
        <v>24</v>
      </c>
      <c r="D584" s="3" t="s">
        <v>10</v>
      </c>
      <c r="E584" s="99">
        <v>0</v>
      </c>
      <c r="F584" s="590">
        <f>IF(YEAR(Postup!$H$25)&gt;$D$564,Provozování!AX29,IF(AND(DAY(Postup!$H$25)=31,MONTH(Postup!$H$25)=12,YEAR(Postup!$H$25)=$D$564),Provozování!AX29,IF(YEAR(Postup!$H$25)=$D$564,Provozování!$BL29,0)))</f>
        <v>0</v>
      </c>
      <c r="G584" s="99">
        <v>0</v>
      </c>
      <c r="H584" s="590">
        <f>IF(YEAR(Postup!$H$25)&gt;$D$564,Provozování!AY29,IF(AND(DAY(Postup!$H$25)=31,MONTH(Postup!$H$25)=12,YEAR(Postup!$H$25)=$D$564),Provozování!AY29,IF(YEAR(Postup!$H$25)=$D$564,Provozování!$BM29,0)))</f>
        <v>0</v>
      </c>
      <c r="K584" s="12" t="s">
        <v>23</v>
      </c>
      <c r="L584" s="12" t="s">
        <v>24</v>
      </c>
      <c r="M584" s="3" t="s">
        <v>10</v>
      </c>
      <c r="N584" s="99">
        <v>0</v>
      </c>
      <c r="O584" s="443">
        <f>IF(Provozování!$AZ$16="Neaktivní",0,Provozování!AZ29)</f>
        <v>0</v>
      </c>
      <c r="P584" s="99">
        <v>0</v>
      </c>
      <c r="Q584" s="443">
        <f>IF(Provozování!$AZ$16="Neaktivní",0,Provozování!BA29)</f>
        <v>0</v>
      </c>
      <c r="T584" s="12" t="s">
        <v>23</v>
      </c>
      <c r="U584" s="12" t="s">
        <v>24</v>
      </c>
      <c r="V584" s="3" t="s">
        <v>10</v>
      </c>
      <c r="W584" s="596">
        <v>0</v>
      </c>
      <c r="X584" s="49">
        <f>IF(Provozování!$AX$16="Neaktivní",F584,F584*Výpočty!$P$58+O584)</f>
        <v>0</v>
      </c>
      <c r="Y584" s="49">
        <f t="shared" si="240"/>
        <v>0</v>
      </c>
      <c r="Z584" s="598">
        <v>0</v>
      </c>
      <c r="AA584" s="49">
        <f>IF(Provozování!$AX$16="Neaktivní",H584,H584*Výpočty!$P$58+Q584)</f>
        <v>0</v>
      </c>
      <c r="AB584" s="32">
        <f t="shared" si="241"/>
        <v>0</v>
      </c>
      <c r="AC584" s="183"/>
      <c r="AK584" s="183"/>
      <c r="AL584" s="183"/>
      <c r="AM584" s="183"/>
      <c r="AN584" s="183"/>
    </row>
    <row r="585" spans="2:40" x14ac:dyDescent="0.25">
      <c r="B585" s="9" t="s">
        <v>25</v>
      </c>
      <c r="C585" s="10" t="s">
        <v>26</v>
      </c>
      <c r="D585" s="11" t="s">
        <v>10</v>
      </c>
      <c r="E585" s="46">
        <f>SUM(E586:E587)</f>
        <v>0</v>
      </c>
      <c r="F585" s="46">
        <f>SUM(F586:F587)</f>
        <v>0</v>
      </c>
      <c r="G585" s="46">
        <f>SUM(G586:G587)</f>
        <v>0</v>
      </c>
      <c r="H585" s="98">
        <f>SUM(H586:H587)</f>
        <v>0</v>
      </c>
      <c r="K585" s="9" t="s">
        <v>25</v>
      </c>
      <c r="L585" s="10" t="s">
        <v>26</v>
      </c>
      <c r="M585" s="11" t="s">
        <v>10</v>
      </c>
      <c r="N585" s="46">
        <f>SUM(N586:N587)</f>
        <v>0</v>
      </c>
      <c r="O585" s="46">
        <f>SUM(O586:O587)</f>
        <v>0</v>
      </c>
      <c r="P585" s="46">
        <f>SUM(P586:P587)</f>
        <v>0</v>
      </c>
      <c r="Q585" s="98">
        <f>SUM(Q586:Q587)</f>
        <v>0</v>
      </c>
      <c r="T585" s="9" t="s">
        <v>25</v>
      </c>
      <c r="U585" s="10" t="s">
        <v>26</v>
      </c>
      <c r="V585" s="11" t="s">
        <v>10</v>
      </c>
      <c r="W585" s="98">
        <f t="shared" ref="W585:AB585" si="242">SUM(W586:W587)</f>
        <v>0</v>
      </c>
      <c r="X585" s="98">
        <f t="shared" si="242"/>
        <v>0</v>
      </c>
      <c r="Y585" s="98">
        <f t="shared" si="242"/>
        <v>0</v>
      </c>
      <c r="Z585" s="98">
        <f t="shared" si="242"/>
        <v>0</v>
      </c>
      <c r="AA585" s="98">
        <f t="shared" si="242"/>
        <v>0</v>
      </c>
      <c r="AB585" s="98">
        <f t="shared" si="242"/>
        <v>0</v>
      </c>
      <c r="AC585" s="183"/>
      <c r="AD585" s="183"/>
      <c r="AK585" s="183"/>
      <c r="AL585" s="183"/>
      <c r="AM585" s="183"/>
      <c r="AN585" s="183"/>
    </row>
    <row r="586" spans="2:40" x14ac:dyDescent="0.25">
      <c r="B586" s="12" t="s">
        <v>27</v>
      </c>
      <c r="C586" s="13" t="s">
        <v>28</v>
      </c>
      <c r="D586" s="3" t="s">
        <v>10</v>
      </c>
      <c r="E586" s="49">
        <v>0</v>
      </c>
      <c r="F586" s="590">
        <f>IF(YEAR(Postup!$H$25)&gt;$D$564,Provozování!AX31,IF(AND(DAY(Postup!$H$25)=31,MONTH(Postup!$H$25)=12,YEAR(Postup!$H$25)=$D$564),Provozování!AX31,IF(YEAR(Postup!$H$25)=$D$564,Provozování!$BL31,0)))</f>
        <v>0</v>
      </c>
      <c r="G586" s="49">
        <v>0</v>
      </c>
      <c r="H586" s="590">
        <f>IF(YEAR(Postup!$H$25)&gt;$D$564,Provozování!AY31,IF(AND(DAY(Postup!$H$25)=31,MONTH(Postup!$H$25)=12,YEAR(Postup!$H$25)=$D$564),Provozování!AY31,IF(YEAR(Postup!$H$25)=$D$564,Provozování!$BM31,0)))</f>
        <v>0</v>
      </c>
      <c r="K586" s="12" t="s">
        <v>27</v>
      </c>
      <c r="L586" s="13" t="s">
        <v>28</v>
      </c>
      <c r="M586" s="3" t="s">
        <v>10</v>
      </c>
      <c r="N586" s="49">
        <v>0</v>
      </c>
      <c r="O586" s="443">
        <f>IF(Provozování!$AZ$16="Neaktivní",0,Provozování!AZ31)</f>
        <v>0</v>
      </c>
      <c r="P586" s="49">
        <v>0</v>
      </c>
      <c r="Q586" s="443">
        <f>IF(Provozování!$AZ$16="Neaktivní",0,Provozování!BA31)</f>
        <v>0</v>
      </c>
      <c r="T586" s="12" t="s">
        <v>27</v>
      </c>
      <c r="U586" s="13" t="s">
        <v>28</v>
      </c>
      <c r="V586" s="3" t="s">
        <v>10</v>
      </c>
      <c r="W586" s="595">
        <v>0</v>
      </c>
      <c r="X586" s="49">
        <f>IF(Provozování!$AX$16="Neaktivní",F586,F586*Výpočty!$P$58+O586)</f>
        <v>0</v>
      </c>
      <c r="Y586" s="49">
        <f t="shared" ref="Y586:Y587" si="243">W586-X586</f>
        <v>0</v>
      </c>
      <c r="Z586" s="595">
        <v>0</v>
      </c>
      <c r="AA586" s="49">
        <f>IF(Provozování!$AX$16="Neaktivní",H586,H586*Výpočty!$P$58+Q586)</f>
        <v>0</v>
      </c>
      <c r="AB586" s="32">
        <f t="shared" ref="AB586:AB587" si="244">Z586-AA586</f>
        <v>0</v>
      </c>
      <c r="AC586" s="183"/>
      <c r="AD586" s="183"/>
      <c r="AK586" s="183"/>
      <c r="AL586" s="183"/>
      <c r="AM586" s="183"/>
      <c r="AN586" s="183"/>
    </row>
    <row r="587" spans="2:40" x14ac:dyDescent="0.25">
      <c r="B587" s="12" t="s">
        <v>29</v>
      </c>
      <c r="C587" s="13" t="s">
        <v>30</v>
      </c>
      <c r="D587" s="3" t="s">
        <v>10</v>
      </c>
      <c r="E587" s="49">
        <v>0</v>
      </c>
      <c r="F587" s="590">
        <f>IF(YEAR(Postup!$H$25)&gt;$D$564,Provozování!AX32,IF(AND(DAY(Postup!$H$25)=31,MONTH(Postup!$H$25)=12,YEAR(Postup!$H$25)=$D$564),Provozování!AX32,IF(YEAR(Postup!$H$25)=$D$564,Provozování!$BL32,0)))</f>
        <v>0</v>
      </c>
      <c r="G587" s="49">
        <v>0</v>
      </c>
      <c r="H587" s="590">
        <f>IF(YEAR(Postup!$H$25)&gt;$D$564,Provozování!AY32,IF(AND(DAY(Postup!$H$25)=31,MONTH(Postup!$H$25)=12,YEAR(Postup!$H$25)=$D$564),Provozování!AY32,IF(YEAR(Postup!$H$25)=$D$564,Provozování!$BM32,0)))</f>
        <v>0</v>
      </c>
      <c r="K587" s="12" t="s">
        <v>29</v>
      </c>
      <c r="L587" s="13" t="s">
        <v>30</v>
      </c>
      <c r="M587" s="3" t="s">
        <v>10</v>
      </c>
      <c r="N587" s="49">
        <v>0</v>
      </c>
      <c r="O587" s="443">
        <f>IF(Provozování!$AZ$16="Neaktivní",0,Provozování!AZ32)</f>
        <v>0</v>
      </c>
      <c r="P587" s="49">
        <v>0</v>
      </c>
      <c r="Q587" s="443">
        <f>IF(Provozování!$AZ$16="Neaktivní",0,Provozování!BA32)</f>
        <v>0</v>
      </c>
      <c r="T587" s="12" t="s">
        <v>29</v>
      </c>
      <c r="U587" s="13" t="s">
        <v>30</v>
      </c>
      <c r="V587" s="3" t="s">
        <v>10</v>
      </c>
      <c r="W587" s="595">
        <v>0</v>
      </c>
      <c r="X587" s="49">
        <f>IF(Provozování!$AX$16="Neaktivní",F587,F587*Výpočty!$P$58+O587)</f>
        <v>0</v>
      </c>
      <c r="Y587" s="49">
        <f t="shared" si="243"/>
        <v>0</v>
      </c>
      <c r="Z587" s="595">
        <v>0</v>
      </c>
      <c r="AA587" s="49">
        <f>IF(Provozování!$AX$16="Neaktivní",H587,H587*Výpočty!$P$58+Q587)</f>
        <v>0</v>
      </c>
      <c r="AB587" s="32">
        <f t="shared" si="244"/>
        <v>0</v>
      </c>
      <c r="AC587" s="183"/>
      <c r="AD587" s="183"/>
      <c r="AK587" s="183"/>
      <c r="AL587" s="183"/>
      <c r="AM587" s="183"/>
      <c r="AN587" s="183"/>
    </row>
    <row r="588" spans="2:40" x14ac:dyDescent="0.25">
      <c r="B588" s="9" t="s">
        <v>31</v>
      </c>
      <c r="C588" s="10" t="s">
        <v>32</v>
      </c>
      <c r="D588" s="11" t="s">
        <v>10</v>
      </c>
      <c r="E588" s="46">
        <f>SUM(E589:E592)</f>
        <v>0</v>
      </c>
      <c r="F588" s="46">
        <f>SUM(F589:F592)</f>
        <v>0</v>
      </c>
      <c r="G588" s="46">
        <f>SUM(G589:G592)</f>
        <v>0</v>
      </c>
      <c r="H588" s="98">
        <f>SUM(H589:H592)</f>
        <v>0</v>
      </c>
      <c r="K588" s="9" t="s">
        <v>31</v>
      </c>
      <c r="L588" s="10" t="s">
        <v>32</v>
      </c>
      <c r="M588" s="11" t="s">
        <v>10</v>
      </c>
      <c r="N588" s="46">
        <f>SUM(N589:N592)</f>
        <v>0</v>
      </c>
      <c r="O588" s="46">
        <f>SUM(O589:O592)</f>
        <v>0</v>
      </c>
      <c r="P588" s="46">
        <f>SUM(P589:P592)</f>
        <v>0</v>
      </c>
      <c r="Q588" s="98">
        <f>SUM(Q589:Q592)</f>
        <v>0</v>
      </c>
      <c r="T588" s="9" t="s">
        <v>31</v>
      </c>
      <c r="U588" s="10" t="s">
        <v>32</v>
      </c>
      <c r="V588" s="11" t="s">
        <v>10</v>
      </c>
      <c r="W588" s="98">
        <f t="shared" ref="W588:AB588" si="245">SUM(W589:W592)</f>
        <v>0</v>
      </c>
      <c r="X588" s="98">
        <f t="shared" si="245"/>
        <v>0</v>
      </c>
      <c r="Y588" s="98">
        <f t="shared" si="245"/>
        <v>0</v>
      </c>
      <c r="Z588" s="98">
        <f t="shared" si="245"/>
        <v>0</v>
      </c>
      <c r="AA588" s="98">
        <f t="shared" si="245"/>
        <v>0</v>
      </c>
      <c r="AB588" s="98">
        <f t="shared" si="245"/>
        <v>0</v>
      </c>
      <c r="AC588" s="183"/>
      <c r="AD588" s="183"/>
      <c r="AK588" s="183"/>
      <c r="AL588" s="183"/>
      <c r="AM588" s="183"/>
      <c r="AN588" s="183"/>
    </row>
    <row r="589" spans="2:40" x14ac:dyDescent="0.25">
      <c r="B589" s="12" t="s">
        <v>33</v>
      </c>
      <c r="C589" s="21" t="s">
        <v>34</v>
      </c>
      <c r="D589" s="3" t="s">
        <v>10</v>
      </c>
      <c r="E589" s="49">
        <v>0</v>
      </c>
      <c r="F589" s="49">
        <f>IF(YEAR(Postup!$H$25)&gt;$D$564,Provozování!AX34,IF(AND(DAY(Postup!$H$25)=31,MONTH(Postup!$H$25)=12,YEAR(Postup!$H$25)=$D$564),Provozování!AX34,IF(YEAR(Postup!$H$25)=$D$564,Provozování!$BL34,0)))</f>
        <v>0</v>
      </c>
      <c r="G589" s="49">
        <v>0</v>
      </c>
      <c r="H589" s="32">
        <f>IF(YEAR(Postup!$H$25)&gt;$D$564,Provozování!AY34,IF(AND(DAY(Postup!$H$25)=31,MONTH(Postup!$H$25)=12,YEAR(Postup!$H$25)=$D$564),Provozování!AY34,IF(YEAR(Postup!$H$25)=$D$564,Provozování!$BM34,0)))</f>
        <v>0</v>
      </c>
      <c r="K589" s="12" t="s">
        <v>33</v>
      </c>
      <c r="L589" s="21" t="s">
        <v>34</v>
      </c>
      <c r="M589" s="3" t="s">
        <v>10</v>
      </c>
      <c r="N589" s="49">
        <v>0</v>
      </c>
      <c r="O589" s="49">
        <f>IF(Provozování!$AZ$16="Neaktivní",0,Provozování!AZ34)</f>
        <v>0</v>
      </c>
      <c r="P589" s="49">
        <v>0</v>
      </c>
      <c r="Q589" s="59">
        <f>IF(Provozování!$AZ$16="Neaktivní",0,Provozování!BA34)</f>
        <v>0</v>
      </c>
      <c r="T589" s="12" t="s">
        <v>33</v>
      </c>
      <c r="U589" s="21" t="s">
        <v>34</v>
      </c>
      <c r="V589" s="3" t="s">
        <v>10</v>
      </c>
      <c r="W589" s="595">
        <v>0</v>
      </c>
      <c r="X589" s="49">
        <f>IF(Provozování!$AX$16="Neaktivní",F589,F589*Výpočty!$P$58+O589)</f>
        <v>0</v>
      </c>
      <c r="Y589" s="49">
        <f t="shared" ref="Y589:Y591" si="246">W589-X589</f>
        <v>0</v>
      </c>
      <c r="Z589" s="595">
        <v>0</v>
      </c>
      <c r="AA589" s="49">
        <f>IF(Provozování!$AX$16="Neaktivní",H589,H589*Výpočty!$P$58+Q589)</f>
        <v>0</v>
      </c>
      <c r="AB589" s="32">
        <f t="shared" ref="AB589:AB591" si="247">Z589-AA589</f>
        <v>0</v>
      </c>
      <c r="AC589" s="183"/>
      <c r="AD589" s="183"/>
      <c r="AK589" s="183"/>
      <c r="AL589" s="183"/>
      <c r="AM589" s="183"/>
      <c r="AN589" s="183"/>
    </row>
    <row r="590" spans="2:40" x14ac:dyDescent="0.25">
      <c r="B590" s="12" t="s">
        <v>35</v>
      </c>
      <c r="C590" s="13" t="s">
        <v>36</v>
      </c>
      <c r="D590" s="3" t="s">
        <v>10</v>
      </c>
      <c r="E590" s="49">
        <v>0</v>
      </c>
      <c r="F590" s="589">
        <f>IF(YEAR(Postup!$H$25)&gt;$D$564,Provozování!AX35,IF(AND(DAY(Postup!$H$25)=31,MONTH(Postup!$H$25)=12,YEAR(Postup!$H$25)=$D$564),Provozování!AX35,IF(YEAR(Postup!$H$25)=$D$564,Provozování!$BL35,0)))</f>
        <v>0</v>
      </c>
      <c r="G590" s="49">
        <v>0</v>
      </c>
      <c r="H590" s="590">
        <f>IF(YEAR(Postup!$H$25)&gt;$D$564,Provozování!AY35,IF(AND(DAY(Postup!$H$25)=31,MONTH(Postup!$H$25)=12,YEAR(Postup!$H$25)=$D$564),Provozování!AY35,IF(YEAR(Postup!$H$25)=$D$564,Provozování!$BM35,0)))</f>
        <v>0</v>
      </c>
      <c r="K590" s="12" t="s">
        <v>35</v>
      </c>
      <c r="L590" s="13" t="s">
        <v>36</v>
      </c>
      <c r="M590" s="3" t="s">
        <v>10</v>
      </c>
      <c r="N590" s="49">
        <v>0</v>
      </c>
      <c r="O590" s="444">
        <f>IF(Provozování!$AZ$16="Neaktivní",0,Provozování!AZ35)</f>
        <v>0</v>
      </c>
      <c r="P590" s="49">
        <v>0</v>
      </c>
      <c r="Q590" s="450">
        <f>IF(Provozování!$AZ$16="Neaktivní",0,Provozování!BA35)</f>
        <v>0</v>
      </c>
      <c r="T590" s="12" t="s">
        <v>35</v>
      </c>
      <c r="U590" s="13" t="s">
        <v>36</v>
      </c>
      <c r="V590" s="3" t="s">
        <v>10</v>
      </c>
      <c r="W590" s="595">
        <v>0</v>
      </c>
      <c r="X590" s="49">
        <f>IF(Provozování!$AX$16="Neaktivní",F590,F590*Výpočty!$P$58+O590)</f>
        <v>0</v>
      </c>
      <c r="Y590" s="49">
        <f t="shared" si="246"/>
        <v>0</v>
      </c>
      <c r="Z590" s="595">
        <v>0</v>
      </c>
      <c r="AA590" s="49">
        <f>IF(Provozování!$AX$16="Neaktivní",H590,H590*Výpočty!$P$58+Q590)</f>
        <v>0</v>
      </c>
      <c r="AB590" s="32">
        <f t="shared" si="247"/>
        <v>0</v>
      </c>
      <c r="AC590" s="183"/>
      <c r="AD590" s="183"/>
      <c r="AK590" s="183"/>
      <c r="AL590" s="183"/>
      <c r="AM590" s="183"/>
      <c r="AN590" s="183"/>
    </row>
    <row r="591" spans="2:40" x14ac:dyDescent="0.25">
      <c r="B591" s="12" t="s">
        <v>37</v>
      </c>
      <c r="C591" s="13" t="s">
        <v>38</v>
      </c>
      <c r="D591" s="3" t="s">
        <v>10</v>
      </c>
      <c r="E591" s="49">
        <v>0</v>
      </c>
      <c r="F591" s="49">
        <f>IF(YEAR(Postup!$H$25)&gt;$D$564,Provozování!AX36,IF(AND(DAY(Postup!$H$25)=31,MONTH(Postup!$H$25)=12,YEAR(Postup!$H$25)=$D$564),Provozování!AX36,IF(YEAR(Postup!$H$25)=$D$564,Provozování!$BL36,0)))</f>
        <v>0</v>
      </c>
      <c r="G591" s="49">
        <v>0</v>
      </c>
      <c r="H591" s="32">
        <f>IF(YEAR(Postup!$H$25)&gt;$D$564,Provozování!AY36,IF(AND(DAY(Postup!$H$25)=31,MONTH(Postup!$H$25)=12,YEAR(Postup!$H$25)=$D$564),Provozování!AY36,IF(YEAR(Postup!$H$25)=$D$564,Provozování!$BM36,0)))</f>
        <v>0</v>
      </c>
      <c r="K591" s="12" t="s">
        <v>37</v>
      </c>
      <c r="L591" s="13" t="s">
        <v>38</v>
      </c>
      <c r="M591" s="3" t="s">
        <v>10</v>
      </c>
      <c r="N591" s="49">
        <v>0</v>
      </c>
      <c r="O591" s="49">
        <f>IF(Provozování!$AZ$16="Neaktivní",0,Provozování!AZ36)</f>
        <v>0</v>
      </c>
      <c r="P591" s="49">
        <v>0</v>
      </c>
      <c r="Q591" s="59">
        <f>IF(Provozování!$AZ$16="Neaktivní",0,Provozování!BA36)</f>
        <v>0</v>
      </c>
      <c r="T591" s="12" t="s">
        <v>37</v>
      </c>
      <c r="U591" s="13" t="s">
        <v>38</v>
      </c>
      <c r="V591" s="3" t="s">
        <v>10</v>
      </c>
      <c r="W591" s="595">
        <v>0</v>
      </c>
      <c r="X591" s="49">
        <f>IF(Provozování!$AX$16="Neaktivní",F591,F591*Výpočty!$P$58+O591)</f>
        <v>0</v>
      </c>
      <c r="Y591" s="49">
        <f t="shared" si="246"/>
        <v>0</v>
      </c>
      <c r="Z591" s="595">
        <v>0</v>
      </c>
      <c r="AA591" s="49">
        <f>IF(Provozování!$AX$16="Neaktivní",H591,H591*Výpočty!$P$58+Q591)</f>
        <v>0</v>
      </c>
      <c r="AB591" s="32">
        <f t="shared" si="247"/>
        <v>0</v>
      </c>
      <c r="AC591" s="183"/>
      <c r="AD591" s="183"/>
      <c r="AK591" s="183"/>
      <c r="AL591" s="183"/>
      <c r="AM591" s="183"/>
      <c r="AN591" s="183"/>
    </row>
    <row r="592" spans="2:40" x14ac:dyDescent="0.25">
      <c r="B592" s="12" t="s">
        <v>39</v>
      </c>
      <c r="C592" s="21" t="s">
        <v>40</v>
      </c>
      <c r="D592" s="3" t="s">
        <v>10</v>
      </c>
      <c r="E592" s="49">
        <v>0</v>
      </c>
      <c r="F592" s="445">
        <v>0</v>
      </c>
      <c r="G592" s="49">
        <v>0</v>
      </c>
      <c r="H592" s="442">
        <v>0</v>
      </c>
      <c r="K592" s="12" t="s">
        <v>39</v>
      </c>
      <c r="L592" s="21" t="s">
        <v>40</v>
      </c>
      <c r="M592" s="3" t="s">
        <v>10</v>
      </c>
      <c r="N592" s="49">
        <v>0</v>
      </c>
      <c r="O592" s="445">
        <v>0</v>
      </c>
      <c r="P592" s="49">
        <v>0</v>
      </c>
      <c r="Q592" s="442">
        <v>0</v>
      </c>
      <c r="T592" s="12" t="s">
        <v>39</v>
      </c>
      <c r="U592" s="21" t="s">
        <v>40</v>
      </c>
      <c r="V592" s="3" t="s">
        <v>10</v>
      </c>
      <c r="W592" s="445">
        <v>0</v>
      </c>
      <c r="X592" s="445">
        <v>0</v>
      </c>
      <c r="Y592" s="445">
        <v>0</v>
      </c>
      <c r="Z592" s="445">
        <v>0</v>
      </c>
      <c r="AA592" s="445">
        <v>0</v>
      </c>
      <c r="AB592" s="442">
        <v>0</v>
      </c>
      <c r="AC592" s="183"/>
      <c r="AD592" s="183"/>
      <c r="AK592" s="183"/>
      <c r="AL592" s="183"/>
      <c r="AM592" s="183"/>
      <c r="AN592" s="183"/>
    </row>
    <row r="593" spans="2:40" x14ac:dyDescent="0.25">
      <c r="B593" s="9" t="s">
        <v>41</v>
      </c>
      <c r="C593" s="10" t="s">
        <v>42</v>
      </c>
      <c r="D593" s="11" t="s">
        <v>10</v>
      </c>
      <c r="E593" s="46">
        <f>SUM(E594:E596)</f>
        <v>0</v>
      </c>
      <c r="F593" s="46">
        <f>SUM(F594:F596)</f>
        <v>0</v>
      </c>
      <c r="G593" s="46">
        <f>SUM(G594:G596)</f>
        <v>0</v>
      </c>
      <c r="H593" s="98">
        <f>SUM(H594:H596)</f>
        <v>0</v>
      </c>
      <c r="K593" s="9" t="s">
        <v>41</v>
      </c>
      <c r="L593" s="10" t="s">
        <v>42</v>
      </c>
      <c r="M593" s="11" t="s">
        <v>10</v>
      </c>
      <c r="N593" s="46">
        <f>SUM(N594:N596)</f>
        <v>0</v>
      </c>
      <c r="O593" s="46">
        <f>SUM(O594:O596)</f>
        <v>0</v>
      </c>
      <c r="P593" s="46">
        <f>SUM(P594:P596)</f>
        <v>0</v>
      </c>
      <c r="Q593" s="98">
        <f>SUM(Q594:Q596)</f>
        <v>0</v>
      </c>
      <c r="T593" s="9" t="s">
        <v>41</v>
      </c>
      <c r="U593" s="10" t="s">
        <v>42</v>
      </c>
      <c r="V593" s="11" t="s">
        <v>10</v>
      </c>
      <c r="W593" s="98">
        <f t="shared" ref="W593:AB593" si="248">SUM(W594:W596)</f>
        <v>0</v>
      </c>
      <c r="X593" s="98">
        <f t="shared" si="248"/>
        <v>0</v>
      </c>
      <c r="Y593" s="98">
        <f t="shared" si="248"/>
        <v>0</v>
      </c>
      <c r="Z593" s="98">
        <f t="shared" si="248"/>
        <v>0</v>
      </c>
      <c r="AA593" s="98">
        <f t="shared" si="248"/>
        <v>0</v>
      </c>
      <c r="AB593" s="98">
        <f t="shared" si="248"/>
        <v>0</v>
      </c>
      <c r="AC593" s="183"/>
      <c r="AD593" s="183"/>
      <c r="AK593" s="183"/>
      <c r="AL593" s="183"/>
      <c r="AM593" s="183"/>
      <c r="AN593" s="183"/>
    </row>
    <row r="594" spans="2:40" x14ac:dyDescent="0.25">
      <c r="B594" s="12" t="s">
        <v>43</v>
      </c>
      <c r="C594" s="13" t="s">
        <v>44</v>
      </c>
      <c r="D594" s="3" t="s">
        <v>10</v>
      </c>
      <c r="E594" s="49">
        <v>0</v>
      </c>
      <c r="F594" s="445">
        <v>0</v>
      </c>
      <c r="G594" s="49">
        <v>0</v>
      </c>
      <c r="H594" s="32">
        <f>IF(YEAR(Postup!$H$25)&gt;$D$564,Provozování!AY39,IF(AND(DAY(Postup!$H$25)=31,MONTH(Postup!$H$25)=12,YEAR(Postup!$H$25)=$D$564),Provozování!AY39,IF(YEAR(Postup!$H$25)=$D$564,Provozování!$BM39,0)))</f>
        <v>0</v>
      </c>
      <c r="K594" s="12" t="s">
        <v>43</v>
      </c>
      <c r="L594" s="13" t="s">
        <v>44</v>
      </c>
      <c r="M594" s="3" t="s">
        <v>10</v>
      </c>
      <c r="N594" s="49">
        <v>0</v>
      </c>
      <c r="O594" s="445">
        <v>0</v>
      </c>
      <c r="P594" s="49">
        <v>0</v>
      </c>
      <c r="Q594" s="59">
        <f>IF(Provozování!$AZ$16="Neaktivní",0,Provozování!BA39)</f>
        <v>0</v>
      </c>
      <c r="T594" s="12" t="s">
        <v>43</v>
      </c>
      <c r="U594" s="13" t="s">
        <v>44</v>
      </c>
      <c r="V594" s="3" t="s">
        <v>10</v>
      </c>
      <c r="W594" s="445">
        <v>0</v>
      </c>
      <c r="X594" s="445">
        <v>0</v>
      </c>
      <c r="Y594" s="445">
        <v>0</v>
      </c>
      <c r="Z594" s="595">
        <v>0</v>
      </c>
      <c r="AA594" s="49">
        <f>IF(Provozování!$AX$16="Neaktivní",H594,H594*Výpočty!$P$58+Q594)</f>
        <v>0</v>
      </c>
      <c r="AB594" s="32">
        <f t="shared" ref="AB594:AB597" si="249">Z594-AA594</f>
        <v>0</v>
      </c>
      <c r="AC594" s="183"/>
      <c r="AD594" s="183"/>
      <c r="AE594" s="951" t="s">
        <v>362</v>
      </c>
      <c r="AF594" s="952"/>
      <c r="AG594" s="447">
        <f>Y574</f>
        <v>2028</v>
      </c>
      <c r="AH594" s="447">
        <f>AG594</f>
        <v>2028</v>
      </c>
      <c r="AK594" s="183"/>
      <c r="AL594" s="183"/>
      <c r="AM594" s="183"/>
      <c r="AN594" s="183"/>
    </row>
    <row r="595" spans="2:40" x14ac:dyDescent="0.25">
      <c r="B595" s="12" t="s">
        <v>45</v>
      </c>
      <c r="C595" s="12" t="s">
        <v>46</v>
      </c>
      <c r="D595" s="3" t="s">
        <v>10</v>
      </c>
      <c r="E595" s="49">
        <v>0</v>
      </c>
      <c r="F595" s="590">
        <f>IF(YEAR(Postup!$H$25)&gt;$D$564,Provozování!AX40,IF(AND(DAY(Postup!$H$25)=31,MONTH(Postup!$H$25)=12,YEAR(Postup!$H$25)=$D$564),Provozování!AX40,IF(YEAR(Postup!$H$25)=$D$564,Provozování!$BL40,0)))</f>
        <v>0</v>
      </c>
      <c r="G595" s="49">
        <v>0</v>
      </c>
      <c r="H595" s="590">
        <f>IF(YEAR(Postup!$H$25)&gt;$D$564,Provozování!AY40,IF(AND(DAY(Postup!$H$25)=31,MONTH(Postup!$H$25)=12,YEAR(Postup!$H$25)=$D$564),Provozování!AY40,IF(YEAR(Postup!$H$25)=$D$564,Provozování!$BM40,0)))</f>
        <v>0</v>
      </c>
      <c r="K595" s="12" t="s">
        <v>45</v>
      </c>
      <c r="L595" s="12" t="s">
        <v>46</v>
      </c>
      <c r="M595" s="3" t="s">
        <v>10</v>
      </c>
      <c r="N595" s="49">
        <v>0</v>
      </c>
      <c r="O595" s="443">
        <f>IF(Provozování!$AZ$16="Neaktivní",0,Provozování!AZ40)</f>
        <v>0</v>
      </c>
      <c r="P595" s="49">
        <v>0</v>
      </c>
      <c r="Q595" s="443">
        <f>IF(Provozování!$AZ$16="Neaktivní",0,Provozování!BA40)</f>
        <v>0</v>
      </c>
      <c r="T595" s="12" t="s">
        <v>45</v>
      </c>
      <c r="U595" s="12" t="s">
        <v>46</v>
      </c>
      <c r="V595" s="3" t="s">
        <v>10</v>
      </c>
      <c r="W595" s="595">
        <v>0</v>
      </c>
      <c r="X595" s="49">
        <f>IF(Provozování!$AX$16="Neaktivní",F595,F595*Výpočty!$P$58+O595)</f>
        <v>0</v>
      </c>
      <c r="Y595" s="49">
        <f t="shared" ref="Y595:Y597" si="250">W595-X595</f>
        <v>0</v>
      </c>
      <c r="Z595" s="595">
        <v>0</v>
      </c>
      <c r="AA595" s="49">
        <f>IF(Provozování!$AX$16="Neaktivní",H595,H595*Výpočty!$P$58+Q595)</f>
        <v>0</v>
      </c>
      <c r="AB595" s="32">
        <f t="shared" si="249"/>
        <v>0</v>
      </c>
      <c r="AC595" s="183"/>
      <c r="AD595" s="183"/>
      <c r="AE595" s="953"/>
      <c r="AF595" s="954"/>
      <c r="AG595" s="957" t="s">
        <v>299</v>
      </c>
      <c r="AH595" s="957" t="s">
        <v>300</v>
      </c>
      <c r="AK595" s="183"/>
      <c r="AL595" s="183"/>
      <c r="AM595" s="183"/>
      <c r="AN595" s="183"/>
    </row>
    <row r="596" spans="2:40" x14ac:dyDescent="0.25">
      <c r="B596" s="12" t="s">
        <v>47</v>
      </c>
      <c r="C596" s="13" t="s">
        <v>48</v>
      </c>
      <c r="D596" s="3" t="s">
        <v>10</v>
      </c>
      <c r="E596" s="49">
        <v>0</v>
      </c>
      <c r="F596" s="590">
        <f>IF(YEAR(Postup!$H$25)&gt;$D$564,Provozování!AX41,IF(AND(DAY(Postup!$H$25)=31,MONTH(Postup!$H$25)=12,YEAR(Postup!$H$25)=$D$564),Provozování!AX41,IF(YEAR(Postup!$H$25)=$D$564,Provozování!$BL41,0)))</f>
        <v>0</v>
      </c>
      <c r="G596" s="49">
        <v>0</v>
      </c>
      <c r="H596" s="590">
        <f>IF(YEAR(Postup!$H$25)&gt;$D$564,Provozování!AY41,IF(AND(DAY(Postup!$H$25)=31,MONTH(Postup!$H$25)=12,YEAR(Postup!$H$25)=$D$564),Provozování!AY41,IF(YEAR(Postup!$H$25)=$D$564,Provozování!$BM41,0)))</f>
        <v>0</v>
      </c>
      <c r="K596" s="12" t="s">
        <v>47</v>
      </c>
      <c r="L596" s="13" t="s">
        <v>48</v>
      </c>
      <c r="M596" s="3" t="s">
        <v>10</v>
      </c>
      <c r="N596" s="49">
        <v>0</v>
      </c>
      <c r="O596" s="443">
        <f>IF(Provozování!$AZ$16="Neaktivní",0,Provozování!AZ41)</f>
        <v>0</v>
      </c>
      <c r="P596" s="49">
        <v>0</v>
      </c>
      <c r="Q596" s="443">
        <f>IF(Provozování!$AZ$16="Neaktivní",0,Provozování!BA41)</f>
        <v>0</v>
      </c>
      <c r="T596" s="12" t="s">
        <v>47</v>
      </c>
      <c r="U596" s="13" t="s">
        <v>48</v>
      </c>
      <c r="V596" s="3" t="s">
        <v>10</v>
      </c>
      <c r="W596" s="595">
        <v>0</v>
      </c>
      <c r="X596" s="49">
        <f>IF(Provozování!$AX$16="Neaktivní",F596,F596*Výpočty!$P$58+O596)</f>
        <v>0</v>
      </c>
      <c r="Y596" s="49">
        <f t="shared" si="250"/>
        <v>0</v>
      </c>
      <c r="Z596" s="595">
        <v>0</v>
      </c>
      <c r="AA596" s="49">
        <f>IF(Provozování!$AX$16="Neaktivní",H596,H596*Výpočty!$P$58+Q596)</f>
        <v>0</v>
      </c>
      <c r="AB596" s="32">
        <f t="shared" si="249"/>
        <v>0</v>
      </c>
      <c r="AC596" s="183"/>
      <c r="AD596" s="183"/>
      <c r="AE596" s="955"/>
      <c r="AF596" s="956"/>
      <c r="AG596" s="958"/>
      <c r="AH596" s="958"/>
      <c r="AK596" s="183"/>
      <c r="AL596" s="183"/>
      <c r="AM596" s="183"/>
      <c r="AN596" s="183"/>
    </row>
    <row r="597" spans="2:40" x14ac:dyDescent="0.25">
      <c r="B597" s="9" t="s">
        <v>49</v>
      </c>
      <c r="C597" s="10" t="s">
        <v>50</v>
      </c>
      <c r="D597" s="11" t="s">
        <v>10</v>
      </c>
      <c r="E597" s="49">
        <v>0</v>
      </c>
      <c r="F597" s="589">
        <f>IF(YEAR(Postup!$H$25)&gt;$D$564,Provozování!AX42,IF(AND(DAY(Postup!$H$25)=31,MONTH(Postup!$H$25)=12,YEAR(Postup!$H$25)=$D$564),Provozování!AX42,IF(YEAR(Postup!$H$25)=$D$564,Provozování!$BL42,0)))</f>
        <v>0</v>
      </c>
      <c r="G597" s="49">
        <v>0</v>
      </c>
      <c r="H597" s="590">
        <f>IF(YEAR(Postup!$H$25)&gt;$D$564,Provozování!AY42,IF(AND(DAY(Postup!$H$25)=31,MONTH(Postup!$H$25)=12,YEAR(Postup!$H$25)=$D$564),Provozování!AY42,IF(YEAR(Postup!$H$25)=$D$564,Provozování!$BM42,0)))</f>
        <v>0</v>
      </c>
      <c r="K597" s="9" t="s">
        <v>49</v>
      </c>
      <c r="L597" s="10" t="s">
        <v>50</v>
      </c>
      <c r="M597" s="11" t="s">
        <v>10</v>
      </c>
      <c r="N597" s="49">
        <v>0</v>
      </c>
      <c r="O597" s="444">
        <f>IF(Provozování!$AZ$16="Neaktivní",0,Provozování!AZ42)</f>
        <v>0</v>
      </c>
      <c r="P597" s="49">
        <v>0</v>
      </c>
      <c r="Q597" s="450">
        <f>IF(Provozování!$AZ$16="Neaktivní",0,Provozování!BA42)</f>
        <v>0</v>
      </c>
      <c r="T597" s="9" t="s">
        <v>49</v>
      </c>
      <c r="U597" s="10" t="s">
        <v>50</v>
      </c>
      <c r="V597" s="11" t="s">
        <v>10</v>
      </c>
      <c r="W597" s="595">
        <v>0</v>
      </c>
      <c r="X597" s="49">
        <f>IF(Provozování!$AX$16="Neaktivní",F597,F597*Výpočty!$P$58+O597)</f>
        <v>0</v>
      </c>
      <c r="Y597" s="49">
        <f t="shared" si="250"/>
        <v>0</v>
      </c>
      <c r="Z597" s="595">
        <v>0</v>
      </c>
      <c r="AA597" s="49">
        <f>IF(Provozování!$AX$16="Neaktivní",H597,H597*Výpočty!$P$58+Q597)</f>
        <v>0</v>
      </c>
      <c r="AB597" s="32">
        <f t="shared" si="249"/>
        <v>0</v>
      </c>
      <c r="AC597" s="183"/>
      <c r="AD597" s="183"/>
      <c r="AE597" s="12" t="s">
        <v>405</v>
      </c>
      <c r="AF597" s="12" t="s">
        <v>408</v>
      </c>
      <c r="AG597" s="542">
        <f>Z625</f>
        <v>0</v>
      </c>
      <c r="AH597" s="542">
        <f>AB625</f>
        <v>0</v>
      </c>
      <c r="AK597" s="183"/>
      <c r="AL597" s="183"/>
      <c r="AM597" s="183"/>
      <c r="AN597" s="183"/>
    </row>
    <row r="598" spans="2:40" x14ac:dyDescent="0.25">
      <c r="B598" s="9" t="s">
        <v>51</v>
      </c>
      <c r="C598" s="10" t="s">
        <v>52</v>
      </c>
      <c r="D598" s="11" t="s">
        <v>10</v>
      </c>
      <c r="E598" s="49">
        <v>0</v>
      </c>
      <c r="F598" s="589">
        <f>IF(YEAR(Postup!$H$25)&gt;$D$564,Provozování!AX43-Provozování!AX97,IF(AND(DAY(Postup!$H$25)=31,MONTH(Postup!$H$25)=12,YEAR(Postup!$H$25)=$D$564),Provozování!AX43-Provozování!AX97,IF(YEAR(Postup!$H$25)=$D$564,Provozování!$BL43-Provozování!AX97,0)))</f>
        <v>0</v>
      </c>
      <c r="G598" s="49">
        <v>0</v>
      </c>
      <c r="H598" s="590">
        <f>IF(YEAR(Postup!$H$25)&gt;$D$564,Provozování!AY43-Provozování!AY97,IF(AND(DAY(Postup!$H$25)=31,MONTH(Postup!$H$25)=12,YEAR(Postup!$H$25)=$D$564),Provozování!AY43-Provozování!AY97,IF(YEAR(Postup!$H$25)=$D$564,Provozování!$BM43-Provozování!AY97,0)))</f>
        <v>0</v>
      </c>
      <c r="K598" s="9" t="s">
        <v>51</v>
      </c>
      <c r="L598" s="10" t="s">
        <v>52</v>
      </c>
      <c r="M598" s="11" t="s">
        <v>10</v>
      </c>
      <c r="N598" s="49">
        <v>0</v>
      </c>
      <c r="O598" s="444">
        <f>IF(Provozování!$AZ$16="Neaktivní",0,Provozování!AZ43-Provozování!AX97*Výpočty!P53)</f>
        <v>0</v>
      </c>
      <c r="P598" s="49">
        <v>0</v>
      </c>
      <c r="Q598" s="450">
        <f>IF(Provozování!$AZ$16="Neaktivní",0,Provozování!BA43-Provozování!AY97*Výpočty!P53)</f>
        <v>0</v>
      </c>
      <c r="T598" s="9" t="s">
        <v>51</v>
      </c>
      <c r="U598" s="10" t="s">
        <v>52</v>
      </c>
      <c r="V598" s="11" t="s">
        <v>10</v>
      </c>
      <c r="W598" s="595">
        <v>0</v>
      </c>
      <c r="X598" s="49">
        <f>IF(Provozování!$AX$16="Neaktivní",F598,F598*Výpočty!$P$58+O598)</f>
        <v>0</v>
      </c>
      <c r="Y598" s="49">
        <f>ABS(W598)-ABS(X598)</f>
        <v>0</v>
      </c>
      <c r="Z598" s="595">
        <v>0</v>
      </c>
      <c r="AA598" s="49">
        <f>IF(Provozování!$AX$16="Neaktivní",H598,H598*Výpočty!$P$58+Q598)</f>
        <v>0</v>
      </c>
      <c r="AB598" s="32">
        <f>ABS(Z598)-ABS(AA598)</f>
        <v>0</v>
      </c>
      <c r="AC598" s="183"/>
      <c r="AD598" s="183"/>
      <c r="AE598" s="12" t="s">
        <v>406</v>
      </c>
      <c r="AF598" s="13" t="s">
        <v>410</v>
      </c>
      <c r="AG598" s="360">
        <f>Y624</f>
        <v>0</v>
      </c>
      <c r="AH598" s="360">
        <f>AA624</f>
        <v>0</v>
      </c>
      <c r="AK598" s="183"/>
      <c r="AL598" s="183"/>
      <c r="AM598" s="183"/>
      <c r="AN598" s="183"/>
    </row>
    <row r="599" spans="2:40" x14ac:dyDescent="0.25">
      <c r="B599" s="9" t="s">
        <v>53</v>
      </c>
      <c r="C599" s="10" t="s">
        <v>54</v>
      </c>
      <c r="D599" s="11" t="s">
        <v>10</v>
      </c>
      <c r="E599" s="49">
        <v>0</v>
      </c>
      <c r="F599" s="590">
        <f>IF(YEAR(Postup!$H$25)&gt;$D$564,Provozování!AX44,IF(AND(DAY(Postup!$H$25)=31,MONTH(Postup!$H$25)=12,YEAR(Postup!$H$25)=$D$564),Provozování!AX44,IF(YEAR(Postup!$H$25)=$D$564,Provozování!$BL44,0)))</f>
        <v>0</v>
      </c>
      <c r="G599" s="49">
        <v>0</v>
      </c>
      <c r="H599" s="590">
        <f>IF(YEAR(Postup!$H$25)&gt;$D$564,Provozování!AY44,IF(AND(DAY(Postup!$H$25)=31,MONTH(Postup!$H$25)=12,YEAR(Postup!$H$25)=$D$564),Provozování!AY44,IF(YEAR(Postup!$H$25)=$D$564,Provozování!$BM44,0)))</f>
        <v>0</v>
      </c>
      <c r="K599" s="9" t="s">
        <v>53</v>
      </c>
      <c r="L599" s="10" t="s">
        <v>54</v>
      </c>
      <c r="M599" s="11" t="s">
        <v>10</v>
      </c>
      <c r="N599" s="49">
        <v>0</v>
      </c>
      <c r="O599" s="443">
        <f>IF(Provozování!$AZ$16="Neaktivní",0,Provozování!AZ44)</f>
        <v>0</v>
      </c>
      <c r="P599" s="49">
        <v>0</v>
      </c>
      <c r="Q599" s="443">
        <f>IF(Provozování!$AZ$16="Neaktivní",0,Provozování!BA44)</f>
        <v>0</v>
      </c>
      <c r="T599" s="9" t="s">
        <v>53</v>
      </c>
      <c r="U599" s="10" t="s">
        <v>54</v>
      </c>
      <c r="V599" s="11" t="s">
        <v>10</v>
      </c>
      <c r="W599" s="595">
        <v>0</v>
      </c>
      <c r="X599" s="49">
        <f>IF(Provozování!$AX$16="Neaktivní",F599,F599*Výpočty!$P$58+O599)</f>
        <v>0</v>
      </c>
      <c r="Y599" s="49">
        <f t="shared" ref="Y599:Y600" si="251">W599-X599</f>
        <v>0</v>
      </c>
      <c r="Z599" s="595">
        <v>0</v>
      </c>
      <c r="AA599" s="49">
        <f>IF(Provozování!$AX$16="Neaktivní",H599,H599*Výpočty!$P$58+Q599)</f>
        <v>0</v>
      </c>
      <c r="AB599" s="32">
        <f t="shared" ref="AB599:AB600" si="252">Z599-AA599</f>
        <v>0</v>
      </c>
      <c r="AC599" s="183"/>
      <c r="AD599" s="183"/>
      <c r="AE599" s="12" t="s">
        <v>407</v>
      </c>
      <c r="AF599" s="13" t="s">
        <v>409</v>
      </c>
      <c r="AG599" s="360">
        <f>Z624</f>
        <v>0</v>
      </c>
      <c r="AH599" s="360">
        <f>AB624</f>
        <v>0</v>
      </c>
      <c r="AK599" s="183"/>
      <c r="AL599" s="183"/>
      <c r="AM599" s="183"/>
      <c r="AN599" s="183"/>
    </row>
    <row r="600" spans="2:40" x14ac:dyDescent="0.25">
      <c r="B600" s="9" t="s">
        <v>55</v>
      </c>
      <c r="C600" s="10" t="s">
        <v>56</v>
      </c>
      <c r="D600" s="11" t="s">
        <v>10</v>
      </c>
      <c r="E600" s="49">
        <v>0</v>
      </c>
      <c r="F600" s="590">
        <f>IF(YEAR(Postup!$H$25)&gt;$D$564,Provozování!AX45,IF(AND(DAY(Postup!$H$25)=31,MONTH(Postup!$H$25)=12,YEAR(Postup!$H$25)=$D$564),Provozování!AX45,IF(YEAR(Postup!$H$25)=$D$564,Provozování!$BL45,0)))</f>
        <v>0</v>
      </c>
      <c r="G600" s="49">
        <v>0</v>
      </c>
      <c r="H600" s="590">
        <f>IF(YEAR(Postup!$H$25)&gt;$D$564,Provozování!AY45,IF(AND(DAY(Postup!$H$25)=31,MONTH(Postup!$H$25)=12,YEAR(Postup!$H$25)=$D$564),Provozování!AY45,IF(YEAR(Postup!$H$25)=$D$564,Provozování!$BM45,0)))</f>
        <v>0</v>
      </c>
      <c r="K600" s="9" t="s">
        <v>55</v>
      </c>
      <c r="L600" s="10" t="s">
        <v>56</v>
      </c>
      <c r="M600" s="11" t="s">
        <v>10</v>
      </c>
      <c r="N600" s="49">
        <v>0</v>
      </c>
      <c r="O600" s="443">
        <f>IF(Provozování!$AZ$16="Neaktivní",0,Provozování!AZ45)</f>
        <v>0</v>
      </c>
      <c r="P600" s="49">
        <v>0</v>
      </c>
      <c r="Q600" s="443">
        <f>IF(Provozování!$AZ$16="Neaktivní",0,Provozování!BA45)</f>
        <v>0</v>
      </c>
      <c r="T600" s="9" t="s">
        <v>55</v>
      </c>
      <c r="U600" s="10" t="s">
        <v>56</v>
      </c>
      <c r="V600" s="11" t="s">
        <v>10</v>
      </c>
      <c r="W600" s="595">
        <v>0</v>
      </c>
      <c r="X600" s="49">
        <f>IF(Provozování!$AX$16="Neaktivní",F600,F600*Výpočty!$P$58+O600)</f>
        <v>0</v>
      </c>
      <c r="Y600" s="49">
        <f t="shared" si="251"/>
        <v>0</v>
      </c>
      <c r="Z600" s="595">
        <v>0</v>
      </c>
      <c r="AA600" s="49">
        <f>IF(Provozování!$AX$16="Neaktivní",H600,H600*Výpočty!$P$58+Q600)</f>
        <v>0</v>
      </c>
      <c r="AB600" s="32">
        <f t="shared" si="252"/>
        <v>0</v>
      </c>
      <c r="AC600" s="183"/>
      <c r="AD600" s="183"/>
      <c r="AE600" s="12" t="s">
        <v>411</v>
      </c>
      <c r="AF600" s="12" t="s">
        <v>419</v>
      </c>
      <c r="AG600" s="360">
        <f>X601-X591</f>
        <v>0</v>
      </c>
      <c r="AH600" s="360">
        <f>AA601-AA591</f>
        <v>0</v>
      </c>
      <c r="AK600" s="183"/>
      <c r="AL600" s="183"/>
      <c r="AM600" s="183"/>
      <c r="AN600" s="183"/>
    </row>
    <row r="601" spans="2:40" x14ac:dyDescent="0.25">
      <c r="B601" s="9" t="s">
        <v>57</v>
      </c>
      <c r="C601" s="10" t="s">
        <v>58</v>
      </c>
      <c r="D601" s="11" t="s">
        <v>10</v>
      </c>
      <c r="E601" s="46">
        <f>E577+E582+E585+E588+E593+E597+E598+E599+E600</f>
        <v>0</v>
      </c>
      <c r="F601" s="46">
        <f>F577+F582+F585+F588+F593+F597+F598+F599+F600</f>
        <v>0</v>
      </c>
      <c r="G601" s="46">
        <f>G577+G582+G585+G588+G593+G597+G598+G599+G600</f>
        <v>0</v>
      </c>
      <c r="H601" s="98">
        <f>H577+H582+H585+H588+H593+H597+H598+H599+H600</f>
        <v>0</v>
      </c>
      <c r="K601" s="9" t="s">
        <v>57</v>
      </c>
      <c r="L601" s="10" t="s">
        <v>58</v>
      </c>
      <c r="M601" s="11" t="s">
        <v>10</v>
      </c>
      <c r="N601" s="46">
        <f>N577+N582+N585+N588+N593+N597+N598+N599+N600</f>
        <v>0</v>
      </c>
      <c r="O601" s="46">
        <f>O577+O582+O585+O588+O593+O597+O598+O599+O600</f>
        <v>0</v>
      </c>
      <c r="P601" s="46">
        <f>P577+P582+P585+P588+P593+P597+P598+P599+P600</f>
        <v>0</v>
      </c>
      <c r="Q601" s="98">
        <f>Q577+Q582+Q585+Q588+Q593+Q597+Q598+Q599+Q600</f>
        <v>0</v>
      </c>
      <c r="T601" s="9" t="s">
        <v>57</v>
      </c>
      <c r="U601" s="10" t="s">
        <v>58</v>
      </c>
      <c r="V601" s="11" t="s">
        <v>10</v>
      </c>
      <c r="W601" s="46">
        <f t="shared" ref="W601:AB601" si="253">W577+W582+W585+W588+W593+W597+W598+W599+W600</f>
        <v>0</v>
      </c>
      <c r="X601" s="46">
        <f t="shared" si="253"/>
        <v>0</v>
      </c>
      <c r="Y601" s="46">
        <f t="shared" si="253"/>
        <v>0</v>
      </c>
      <c r="Z601" s="46">
        <f t="shared" si="253"/>
        <v>0</v>
      </c>
      <c r="AA601" s="46">
        <f t="shared" si="253"/>
        <v>0</v>
      </c>
      <c r="AB601" s="98">
        <f t="shared" si="253"/>
        <v>0</v>
      </c>
      <c r="AC601" s="183"/>
      <c r="AD601" s="183"/>
      <c r="AE601" s="12" t="s">
        <v>412</v>
      </c>
      <c r="AF601" s="12" t="s">
        <v>418</v>
      </c>
      <c r="AG601" s="360">
        <f>W601-W591</f>
        <v>0</v>
      </c>
      <c r="AH601" s="360">
        <f>Z601-Z591</f>
        <v>0</v>
      </c>
      <c r="AK601" s="183"/>
      <c r="AL601" s="183"/>
      <c r="AM601" s="183"/>
      <c r="AN601" s="183"/>
    </row>
    <row r="602" spans="2:40" x14ac:dyDescent="0.25">
      <c r="B602" s="12" t="s">
        <v>59</v>
      </c>
      <c r="C602" s="13" t="s">
        <v>112</v>
      </c>
      <c r="D602" s="3" t="s">
        <v>10</v>
      </c>
      <c r="E602" s="437">
        <v>0</v>
      </c>
      <c r="F602" s="591">
        <f>F532</f>
        <v>0</v>
      </c>
      <c r="G602" s="437">
        <v>0</v>
      </c>
      <c r="H602" s="593">
        <f>H532</f>
        <v>0</v>
      </c>
      <c r="K602" s="12" t="s">
        <v>59</v>
      </c>
      <c r="L602" s="13" t="s">
        <v>112</v>
      </c>
      <c r="M602" s="3" t="s">
        <v>10</v>
      </c>
      <c r="N602" s="437">
        <v>0</v>
      </c>
      <c r="O602" s="437">
        <f>IF(Provozování!$V$16="Neaktivní",0,F602)</f>
        <v>0</v>
      </c>
      <c r="P602" s="437">
        <v>0</v>
      </c>
      <c r="Q602" s="438">
        <f>IF(Provozování!$V$16="Neaktivní",0,H602)</f>
        <v>0</v>
      </c>
      <c r="T602" s="47" t="s">
        <v>59</v>
      </c>
      <c r="U602" s="13" t="s">
        <v>112</v>
      </c>
      <c r="V602" s="3" t="s">
        <v>10</v>
      </c>
      <c r="W602" s="591">
        <v>0</v>
      </c>
      <c r="X602" s="437">
        <f>F602</f>
        <v>0</v>
      </c>
      <c r="Y602" s="437">
        <f>W602-X602</f>
        <v>0</v>
      </c>
      <c r="Z602" s="591">
        <v>0</v>
      </c>
      <c r="AA602" s="437">
        <f>H602</f>
        <v>0</v>
      </c>
      <c r="AB602" s="438">
        <f>Z602-AA602</f>
        <v>0</v>
      </c>
      <c r="AC602" s="183"/>
      <c r="AD602" s="183"/>
      <c r="AE602" s="12" t="s">
        <v>430</v>
      </c>
      <c r="AF602" s="12" t="s">
        <v>431</v>
      </c>
      <c r="AG602" s="360">
        <f>Provozování!AX$97</f>
        <v>0</v>
      </c>
      <c r="AH602" s="360">
        <f ca="1">Provozování!AY$97</f>
        <v>0</v>
      </c>
      <c r="AK602" s="183"/>
      <c r="AL602" s="183"/>
      <c r="AM602" s="183"/>
      <c r="AN602" s="183"/>
    </row>
    <row r="603" spans="2:40" x14ac:dyDescent="0.25">
      <c r="B603" s="12" t="s">
        <v>60</v>
      </c>
      <c r="C603" s="13" t="s">
        <v>113</v>
      </c>
      <c r="D603" s="3" t="s">
        <v>10</v>
      </c>
      <c r="E603" s="437">
        <v>0</v>
      </c>
      <c r="F603" s="591">
        <f>F533</f>
        <v>0</v>
      </c>
      <c r="G603" s="437">
        <v>0</v>
      </c>
      <c r="H603" s="593">
        <f>H533</f>
        <v>0</v>
      </c>
      <c r="K603" s="12" t="s">
        <v>60</v>
      </c>
      <c r="L603" s="13" t="s">
        <v>113</v>
      </c>
      <c r="M603" s="3" t="s">
        <v>10</v>
      </c>
      <c r="N603" s="437">
        <v>0</v>
      </c>
      <c r="O603" s="437">
        <f>IF(Provozování!$V$16="Neaktivní",0,F603)</f>
        <v>0</v>
      </c>
      <c r="P603" s="437">
        <v>0</v>
      </c>
      <c r="Q603" s="438">
        <f>IF(Provozování!$V$16="Neaktivní",0,H603)</f>
        <v>0</v>
      </c>
      <c r="T603" s="12" t="s">
        <v>60</v>
      </c>
      <c r="U603" s="13" t="s">
        <v>113</v>
      </c>
      <c r="V603" s="3" t="s">
        <v>10</v>
      </c>
      <c r="W603" s="591">
        <v>0</v>
      </c>
      <c r="X603" s="437">
        <f>F603</f>
        <v>0</v>
      </c>
      <c r="Y603" s="437">
        <f>W603-X603</f>
        <v>0</v>
      </c>
      <c r="Z603" s="591">
        <v>0</v>
      </c>
      <c r="AA603" s="437">
        <f>H603</f>
        <v>0</v>
      </c>
      <c r="AB603" s="438">
        <f>Z603-AA603</f>
        <v>0</v>
      </c>
      <c r="AC603" s="183"/>
      <c r="AD603" s="183"/>
      <c r="AE603" s="554" t="s">
        <v>434</v>
      </c>
      <c r="AF603" s="555"/>
      <c r="AG603" s="959">
        <f>(AG597*AG598-AG597*AG599)+(AG600-AG601)-AG602</f>
        <v>0</v>
      </c>
      <c r="AH603" s="959">
        <f ca="1">(AH597*AH598-AH597*AH599)+(AH600-AH601)-AH602</f>
        <v>0</v>
      </c>
      <c r="AK603" s="183"/>
      <c r="AL603" s="183"/>
      <c r="AM603" s="183"/>
      <c r="AN603" s="183"/>
    </row>
    <row r="604" spans="2:40" x14ac:dyDescent="0.25">
      <c r="B604" s="12" t="s">
        <v>61</v>
      </c>
      <c r="C604" s="13" t="s">
        <v>62</v>
      </c>
      <c r="D604" s="3" t="s">
        <v>63</v>
      </c>
      <c r="E604" s="439">
        <v>0</v>
      </c>
      <c r="F604" s="592">
        <f>F534</f>
        <v>0</v>
      </c>
      <c r="G604" s="439">
        <v>0</v>
      </c>
      <c r="H604" s="592">
        <f>H534</f>
        <v>0</v>
      </c>
      <c r="K604" s="12" t="s">
        <v>61</v>
      </c>
      <c r="L604" s="13" t="s">
        <v>62</v>
      </c>
      <c r="M604" s="3" t="s">
        <v>63</v>
      </c>
      <c r="N604" s="439">
        <v>0</v>
      </c>
      <c r="O604" s="439">
        <f>IF(Provozování!$V$16="Neaktivní",0,F604)</f>
        <v>0</v>
      </c>
      <c r="P604" s="439">
        <v>0</v>
      </c>
      <c r="Q604" s="440">
        <f>IF(Provozování!$V$16="Neaktivní",0,H604)</f>
        <v>0</v>
      </c>
      <c r="T604" s="12" t="s">
        <v>61</v>
      </c>
      <c r="U604" s="13" t="s">
        <v>62</v>
      </c>
      <c r="V604" s="3" t="s">
        <v>63</v>
      </c>
      <c r="W604" s="599">
        <v>0</v>
      </c>
      <c r="X604" s="439">
        <f>F604</f>
        <v>0</v>
      </c>
      <c r="Y604" s="440">
        <f>W604-X604</f>
        <v>0</v>
      </c>
      <c r="Z604" s="599">
        <v>0</v>
      </c>
      <c r="AA604" s="439">
        <f>H604</f>
        <v>0</v>
      </c>
      <c r="AB604" s="440">
        <f>Z604-AA604</f>
        <v>0</v>
      </c>
      <c r="AC604" s="183"/>
      <c r="AD604" s="183"/>
      <c r="AE604" s="544" t="s">
        <v>432</v>
      </c>
      <c r="AF604" s="543"/>
      <c r="AG604" s="960"/>
      <c r="AH604" s="960"/>
      <c r="AK604" s="183"/>
      <c r="AL604" s="183"/>
      <c r="AM604" s="183"/>
      <c r="AN604" s="183"/>
    </row>
    <row r="605" spans="2:40" x14ac:dyDescent="0.25">
      <c r="B605" s="12" t="s">
        <v>64</v>
      </c>
      <c r="C605" s="13" t="s">
        <v>65</v>
      </c>
      <c r="D605" s="3" t="s">
        <v>66</v>
      </c>
      <c r="E605" s="49">
        <v>0</v>
      </c>
      <c r="F605" s="49">
        <f>IF(YEAR(Postup!$H$25)&gt;$D$564,Provozování!AX47,IF(AND(DAY(Postup!$H$25)=31,MONTH(Postup!$H$25)=12,YEAR(Postup!$H$25)=$D$564),Provozování!AX47,IF(YEAR(Postup!$H$25)=$D$564,Provozování!$BL47,0)))</f>
        <v>0</v>
      </c>
      <c r="G605" s="49">
        <v>0</v>
      </c>
      <c r="H605" s="442">
        <v>0</v>
      </c>
      <c r="K605" s="12" t="s">
        <v>64</v>
      </c>
      <c r="L605" s="13" t="s">
        <v>65</v>
      </c>
      <c r="M605" s="3" t="s">
        <v>66</v>
      </c>
      <c r="N605" s="49">
        <v>0</v>
      </c>
      <c r="O605" s="49">
        <f>IF(Provozování!$AZ$16="Neaktivní",0,Provozování!AZ47)</f>
        <v>0</v>
      </c>
      <c r="P605" s="49">
        <v>0</v>
      </c>
      <c r="Q605" s="442">
        <v>0</v>
      </c>
      <c r="T605" s="12" t="s">
        <v>64</v>
      </c>
      <c r="U605" s="13" t="s">
        <v>65</v>
      </c>
      <c r="V605" s="3" t="s">
        <v>66</v>
      </c>
      <c r="W605" s="595">
        <v>0</v>
      </c>
      <c r="X605" s="49">
        <f>IF(Provozování!$AX$16="Neaktivní",F605,F605*Výpočty!$P$58+O605)</f>
        <v>0</v>
      </c>
      <c r="Y605" s="49">
        <f>W605-X605</f>
        <v>0</v>
      </c>
      <c r="Z605" s="445">
        <v>0</v>
      </c>
      <c r="AA605" s="445">
        <v>0</v>
      </c>
      <c r="AB605" s="442">
        <v>0</v>
      </c>
      <c r="AC605" s="183"/>
      <c r="AD605" s="183"/>
      <c r="AE605" s="963" t="s">
        <v>416</v>
      </c>
      <c r="AF605" s="964"/>
      <c r="AG605" s="957" t="str">
        <f>IF(AG603&gt;0,"úspora",IF(AG603&lt;0,"ztráta provozovatele","-"))</f>
        <v>-</v>
      </c>
      <c r="AH605" s="957" t="str">
        <f ca="1">IF(AH603&gt;0,"úspora",IF(AH603&lt;0,"ztráta provozovatele","-"))</f>
        <v>-</v>
      </c>
      <c r="AK605" s="183"/>
      <c r="AL605" s="183"/>
      <c r="AM605" s="183"/>
      <c r="AN605" s="183"/>
    </row>
    <row r="606" spans="2:40" x14ac:dyDescent="0.25">
      <c r="B606" s="12" t="s">
        <v>67</v>
      </c>
      <c r="C606" s="13" t="s">
        <v>68</v>
      </c>
      <c r="D606" s="3" t="s">
        <v>66</v>
      </c>
      <c r="E606" s="49">
        <v>0</v>
      </c>
      <c r="F606" s="49">
        <f>IF(YEAR(Postup!$H$25)&gt;$D$564,Provozování!AX48,IF(AND(DAY(Postup!$H$25)=31,MONTH(Postup!$H$25)=12,YEAR(Postup!$H$25)=$D$564),Provozování!AX48,IF(YEAR(Postup!$H$25)=$D$564,Provozování!$BL48,0)))</f>
        <v>0</v>
      </c>
      <c r="G606" s="49">
        <v>0</v>
      </c>
      <c r="H606" s="442">
        <v>0</v>
      </c>
      <c r="K606" s="12" t="s">
        <v>67</v>
      </c>
      <c r="L606" s="13" t="s">
        <v>68</v>
      </c>
      <c r="M606" s="3" t="s">
        <v>66</v>
      </c>
      <c r="N606" s="49">
        <v>0</v>
      </c>
      <c r="O606" s="49">
        <f>IF(Provozování!$AZ$16="Neaktivní",0,Provozování!AZ48)</f>
        <v>0</v>
      </c>
      <c r="P606" s="49">
        <v>0</v>
      </c>
      <c r="Q606" s="442">
        <v>0</v>
      </c>
      <c r="T606" s="12" t="s">
        <v>67</v>
      </c>
      <c r="U606" s="13" t="s">
        <v>68</v>
      </c>
      <c r="V606" s="3" t="s">
        <v>66</v>
      </c>
      <c r="W606" s="595">
        <v>0</v>
      </c>
      <c r="X606" s="49">
        <f>IF(Provozování!$AX$16="Neaktivní",F606,F606*Výpočty!$P$58+O606)</f>
        <v>0</v>
      </c>
      <c r="Y606" s="49">
        <f>W606-X606</f>
        <v>0</v>
      </c>
      <c r="Z606" s="445">
        <v>0</v>
      </c>
      <c r="AA606" s="445">
        <v>0</v>
      </c>
      <c r="AB606" s="442">
        <v>0</v>
      </c>
      <c r="AC606" s="183"/>
      <c r="AD606" s="183"/>
      <c r="AE606" s="965"/>
      <c r="AF606" s="966"/>
      <c r="AG606" s="958"/>
      <c r="AH606" s="958"/>
      <c r="AK606" s="183"/>
      <c r="AL606" s="183"/>
      <c r="AM606" s="183"/>
      <c r="AN606" s="183"/>
    </row>
    <row r="607" spans="2:40" x14ac:dyDescent="0.25">
      <c r="B607" s="12" t="s">
        <v>69</v>
      </c>
      <c r="C607" s="13" t="s">
        <v>70</v>
      </c>
      <c r="D607" s="3" t="s">
        <v>66</v>
      </c>
      <c r="E607" s="49">
        <v>0</v>
      </c>
      <c r="F607" s="445">
        <v>0</v>
      </c>
      <c r="G607" s="49">
        <v>0</v>
      </c>
      <c r="H607" s="32">
        <f>IF(YEAR(Postup!$H$25)&gt;$D$564,Provozování!AY49,IF(AND(DAY(Postup!$H$25)=31,MONTH(Postup!$H$25)=12,YEAR(Postup!$H$25)=$D$564),Provozování!AY49,IF(YEAR(Postup!$H$25)=$D$564,Provozování!$BM49,0)))</f>
        <v>0</v>
      </c>
      <c r="K607" s="12" t="s">
        <v>69</v>
      </c>
      <c r="L607" s="13" t="s">
        <v>70</v>
      </c>
      <c r="M607" s="3" t="s">
        <v>66</v>
      </c>
      <c r="N607" s="49">
        <v>0</v>
      </c>
      <c r="O607" s="445">
        <v>0</v>
      </c>
      <c r="P607" s="49">
        <v>0</v>
      </c>
      <c r="Q607" s="59">
        <f>IF(Provozování!$AZ$16="Neaktivní",0,Provozování!BA49)</f>
        <v>0</v>
      </c>
      <c r="T607" s="12" t="s">
        <v>69</v>
      </c>
      <c r="U607" s="13" t="s">
        <v>70</v>
      </c>
      <c r="V607" s="3" t="s">
        <v>66</v>
      </c>
      <c r="W607" s="445">
        <v>0</v>
      </c>
      <c r="X607" s="445">
        <v>0</v>
      </c>
      <c r="Y607" s="445">
        <v>0</v>
      </c>
      <c r="Z607" s="595">
        <v>0</v>
      </c>
      <c r="AA607" s="49">
        <f>IF(Provozování!$AX$16="Neaktivní",H607,H607*Výpočty!$P$58+Q607)</f>
        <v>0</v>
      </c>
      <c r="AB607" s="32">
        <f t="shared" ref="AB607:AB612" si="254">Z607-AA607</f>
        <v>0</v>
      </c>
      <c r="AC607" s="183"/>
      <c r="AD607" s="183"/>
      <c r="AE607" s="533" t="s">
        <v>422</v>
      </c>
      <c r="AF607" s="533"/>
      <c r="AG607" s="453">
        <f>IF(AG603&gt;0,AG603/AG600,0)</f>
        <v>0</v>
      </c>
      <c r="AH607" s="453">
        <f ca="1">IF(AH603&gt;0,AH603/AH600,0)</f>
        <v>0</v>
      </c>
      <c r="AK607" s="183"/>
      <c r="AL607" s="183"/>
      <c r="AM607" s="183"/>
      <c r="AN607" s="183"/>
    </row>
    <row r="608" spans="2:40" x14ac:dyDescent="0.25">
      <c r="B608" s="12" t="s">
        <v>71</v>
      </c>
      <c r="C608" s="13" t="s">
        <v>68</v>
      </c>
      <c r="D608" s="3" t="s">
        <v>66</v>
      </c>
      <c r="E608" s="49">
        <v>0</v>
      </c>
      <c r="F608" s="445">
        <v>0</v>
      </c>
      <c r="G608" s="49">
        <v>0</v>
      </c>
      <c r="H608" s="32">
        <f>IF(YEAR(Postup!$H$25)&gt;$D$564,Provozování!AY50,IF(AND(DAY(Postup!$H$25)=31,MONTH(Postup!$H$25)=12,YEAR(Postup!$H$25)=$D$564),Provozování!AY50,IF(YEAR(Postup!$H$25)=$D$564,Provozování!$BM50,0)))</f>
        <v>0</v>
      </c>
      <c r="K608" s="12" t="s">
        <v>71</v>
      </c>
      <c r="L608" s="13" t="s">
        <v>68</v>
      </c>
      <c r="M608" s="3" t="s">
        <v>66</v>
      </c>
      <c r="N608" s="49">
        <v>0</v>
      </c>
      <c r="O608" s="445">
        <v>0</v>
      </c>
      <c r="P608" s="49">
        <v>0</v>
      </c>
      <c r="Q608" s="59">
        <f>IF(Provozování!$AZ$16="Neaktivní",0,Provozování!BA50)</f>
        <v>0</v>
      </c>
      <c r="T608" s="12" t="s">
        <v>71</v>
      </c>
      <c r="U608" s="13" t="s">
        <v>68</v>
      </c>
      <c r="V608" s="3" t="s">
        <v>66</v>
      </c>
      <c r="W608" s="445">
        <v>0</v>
      </c>
      <c r="X608" s="445">
        <v>0</v>
      </c>
      <c r="Y608" s="445">
        <v>0</v>
      </c>
      <c r="Z608" s="595">
        <v>0</v>
      </c>
      <c r="AA608" s="49">
        <f>IF(Provozování!$AX$16="Neaktivní",H608,H608*Výpočty!$P$58+Q608)</f>
        <v>0</v>
      </c>
      <c r="AB608" s="32">
        <f t="shared" si="254"/>
        <v>0</v>
      </c>
      <c r="AC608" s="183"/>
      <c r="AD608" s="183"/>
      <c r="AE608" s="556" t="s">
        <v>402</v>
      </c>
      <c r="AF608" s="556"/>
      <c r="AG608" s="961">
        <f>IF(AG607&gt;0,AG600*AI609*0.5,0)</f>
        <v>0</v>
      </c>
      <c r="AH608" s="961">
        <f ca="1">IF(AH607&gt;0,AH600*AJ609*0.5,0)</f>
        <v>0</v>
      </c>
      <c r="AK608" s="183"/>
      <c r="AL608" s="183"/>
      <c r="AM608" s="183"/>
      <c r="AN608" s="183"/>
    </row>
    <row r="609" spans="2:40" x14ac:dyDescent="0.25">
      <c r="B609" s="12" t="s">
        <v>72</v>
      </c>
      <c r="C609" s="13" t="s">
        <v>73</v>
      </c>
      <c r="D609" s="3" t="s">
        <v>66</v>
      </c>
      <c r="E609" s="49">
        <v>0</v>
      </c>
      <c r="F609" s="445">
        <v>0</v>
      </c>
      <c r="G609" s="49">
        <v>0</v>
      </c>
      <c r="H609" s="32">
        <f>IF(YEAR(Postup!$H$25)&gt;$D$564,Provozování!AY51,IF(AND(DAY(Postup!$H$25)=31,MONTH(Postup!$H$25)=12,YEAR(Postup!$H$25)=$D$564),Provozování!AY51,IF(YEAR(Postup!$H$25)=$D$564,Provozování!$BM51,0)))</f>
        <v>0</v>
      </c>
      <c r="K609" s="12" t="s">
        <v>72</v>
      </c>
      <c r="L609" s="13" t="s">
        <v>73</v>
      </c>
      <c r="M609" s="3" t="s">
        <v>66</v>
      </c>
      <c r="N609" s="49">
        <v>0</v>
      </c>
      <c r="O609" s="445">
        <v>0</v>
      </c>
      <c r="P609" s="49">
        <v>0</v>
      </c>
      <c r="Q609" s="59">
        <f>IF(Provozování!$AZ$16="Neaktivní",0,Provozování!BA51)</f>
        <v>0</v>
      </c>
      <c r="T609" s="12" t="s">
        <v>72</v>
      </c>
      <c r="U609" s="13" t="s">
        <v>73</v>
      </c>
      <c r="V609" s="3" t="s">
        <v>66</v>
      </c>
      <c r="W609" s="445">
        <v>0</v>
      </c>
      <c r="X609" s="445">
        <v>0</v>
      </c>
      <c r="Y609" s="445">
        <v>0</v>
      </c>
      <c r="Z609" s="595">
        <v>0</v>
      </c>
      <c r="AA609" s="49">
        <f>IF(Provozování!$AX$16="Neaktivní",H609,H609*Výpočty!$P$58+Q609)</f>
        <v>0</v>
      </c>
      <c r="AB609" s="32">
        <f t="shared" si="254"/>
        <v>0</v>
      </c>
      <c r="AC609" s="183"/>
      <c r="AD609" s="183"/>
      <c r="AE609" s="557" t="s">
        <v>413</v>
      </c>
      <c r="AF609" s="557"/>
      <c r="AG609" s="962"/>
      <c r="AH609" s="962"/>
      <c r="AI609" s="454">
        <f>IF(AG607&gt;0.05,0.05,AG607)</f>
        <v>0</v>
      </c>
      <c r="AJ609" s="454">
        <f ca="1">IF(AH607&gt;0.05,0.05,AH607)</f>
        <v>0</v>
      </c>
      <c r="AK609" s="183"/>
      <c r="AL609" s="183"/>
      <c r="AM609" s="183"/>
      <c r="AN609" s="183"/>
    </row>
    <row r="610" spans="2:40" x14ac:dyDescent="0.25">
      <c r="B610" s="12" t="s">
        <v>74</v>
      </c>
      <c r="C610" s="13" t="s">
        <v>75</v>
      </c>
      <c r="D610" s="3" t="s">
        <v>66</v>
      </c>
      <c r="E610" s="49">
        <v>0</v>
      </c>
      <c r="F610" s="445">
        <v>0</v>
      </c>
      <c r="G610" s="49">
        <v>0</v>
      </c>
      <c r="H610" s="32">
        <f>IF(YEAR(Postup!$H$25)&gt;$D$564,Provozování!AY52,IF(AND(DAY(Postup!$H$25)=31,MONTH(Postup!$H$25)=12,YEAR(Postup!$H$25)=$D$564),Provozování!AY52,IF(YEAR(Postup!$H$25)=$D$564,Provozování!$BM52,0)))</f>
        <v>0</v>
      </c>
      <c r="K610" s="12" t="s">
        <v>74</v>
      </c>
      <c r="L610" s="13" t="s">
        <v>75</v>
      </c>
      <c r="M610" s="3" t="s">
        <v>66</v>
      </c>
      <c r="N610" s="49">
        <v>0</v>
      </c>
      <c r="O610" s="445">
        <v>0</v>
      </c>
      <c r="P610" s="49">
        <v>0</v>
      </c>
      <c r="Q610" s="59">
        <f>IF(Provozování!$AZ$16="Neaktivní",0,Provozování!BA52)</f>
        <v>0</v>
      </c>
      <c r="T610" s="12" t="s">
        <v>74</v>
      </c>
      <c r="U610" s="13" t="s">
        <v>75</v>
      </c>
      <c r="V610" s="3" t="s">
        <v>66</v>
      </c>
      <c r="W610" s="445">
        <v>0</v>
      </c>
      <c r="X610" s="445">
        <v>0</v>
      </c>
      <c r="Y610" s="445">
        <v>0</v>
      </c>
      <c r="Z610" s="595">
        <v>0</v>
      </c>
      <c r="AA610" s="49">
        <f>IF(Provozování!$AX$16="Neaktivní",H610,H610*Výpočty!$P$58+Q610)</f>
        <v>0</v>
      </c>
      <c r="AB610" s="32">
        <f t="shared" si="254"/>
        <v>0</v>
      </c>
      <c r="AC610" s="183"/>
      <c r="AD610" s="183"/>
      <c r="AE610" s="534" t="s">
        <v>414</v>
      </c>
      <c r="AF610" s="534"/>
      <c r="AG610" s="360">
        <f>IF(AI610&gt;0,AG600*(AI610-0.05)*0.8,0)</f>
        <v>0</v>
      </c>
      <c r="AH610" s="360">
        <f ca="1">IF(AJ610&gt;0,AH600*(AJ610-0.05)*0.8,0)</f>
        <v>0</v>
      </c>
      <c r="AI610" s="454">
        <f>IF(AND(AG607&gt;0.05,AG607&lt;=0.1),AG607,IF(AG607&lt;=0.05,0,0.1))</f>
        <v>0</v>
      </c>
      <c r="AJ610" s="454">
        <f ca="1">IF(AND(AH607&gt;0.05,AH607&lt;=0.1),AH607,IF(AH607&lt;=0.05,0,0.1))</f>
        <v>0</v>
      </c>
      <c r="AK610" s="183"/>
      <c r="AL610" s="183"/>
      <c r="AM610" s="183"/>
      <c r="AN610" s="183"/>
    </row>
    <row r="611" spans="2:40" x14ac:dyDescent="0.25">
      <c r="B611" s="12" t="s">
        <v>76</v>
      </c>
      <c r="C611" s="13" t="s">
        <v>77</v>
      </c>
      <c r="D611" s="3" t="s">
        <v>66</v>
      </c>
      <c r="E611" s="49">
        <v>0</v>
      </c>
      <c r="F611" s="49">
        <f>IF(YEAR(Postup!$H$25)&gt;$D$564,Provozování!AX53,IF(AND(DAY(Postup!$H$25)=31,MONTH(Postup!$H$25)=12,YEAR(Postup!$H$25)=$D$564),Provozování!AX53,IF(YEAR(Postup!$H$25)=$D$564,Provozování!$BL53,0)))</f>
        <v>0</v>
      </c>
      <c r="G611" s="49">
        <v>0</v>
      </c>
      <c r="H611" s="32">
        <f>IF(YEAR(Postup!$H$25)&gt;$D$564,Provozování!AY53,IF(AND(DAY(Postup!$H$25)=31,MONTH(Postup!$H$25)=12,YEAR(Postup!$H$25)=$D$564),Provozování!AY53,IF(YEAR(Postup!$H$25)=$D$564,Provozování!$BM53,0)))</f>
        <v>0</v>
      </c>
      <c r="K611" s="12" t="s">
        <v>76</v>
      </c>
      <c r="L611" s="13" t="s">
        <v>77</v>
      </c>
      <c r="M611" s="3" t="s">
        <v>66</v>
      </c>
      <c r="N611" s="49">
        <v>0</v>
      </c>
      <c r="O611" s="49">
        <f>IF(Provozování!$AZ$16="Neaktivní",0,Provozování!AZ53)</f>
        <v>0</v>
      </c>
      <c r="P611" s="49">
        <v>0</v>
      </c>
      <c r="Q611" s="59">
        <f>IF(Provozování!$AZ$16="Neaktivní",0,Provozování!BA53)</f>
        <v>0</v>
      </c>
      <c r="T611" s="12" t="s">
        <v>76</v>
      </c>
      <c r="U611" s="13" t="s">
        <v>77</v>
      </c>
      <c r="V611" s="3" t="s">
        <v>66</v>
      </c>
      <c r="W611" s="595">
        <v>0</v>
      </c>
      <c r="X611" s="49">
        <f>IF(Provozování!$AX$16="Neaktivní",F611,F611*Výpočty!$P$58+O611)</f>
        <v>0</v>
      </c>
      <c r="Y611" s="49">
        <f>W611-X611</f>
        <v>0</v>
      </c>
      <c r="Z611" s="595">
        <v>0</v>
      </c>
      <c r="AA611" s="49">
        <f>IF(Provozování!$AX$16="Neaktivní",H611,H611*Výpočty!$P$58+Q611)</f>
        <v>0</v>
      </c>
      <c r="AB611" s="32">
        <f t="shared" si="254"/>
        <v>0</v>
      </c>
      <c r="AC611" s="183"/>
      <c r="AD611" s="183"/>
      <c r="AE611" s="534" t="s">
        <v>415</v>
      </c>
      <c r="AF611" s="534"/>
      <c r="AG611" s="360">
        <f>IF(AI611&gt;0,AG600*(AI611-0.1)*1,0)</f>
        <v>0</v>
      </c>
      <c r="AH611" s="360">
        <f ca="1">IF(AJ611&gt;0,AH600*(AJ611-0.1)*1,0)</f>
        <v>0</v>
      </c>
      <c r="AI611" s="454">
        <f>IF(AG607&gt;0.1,AG607,0)</f>
        <v>0</v>
      </c>
      <c r="AJ611" s="454">
        <f ca="1">IF(AH607&gt;0.1,AH607,0)</f>
        <v>0</v>
      </c>
      <c r="AK611" s="183"/>
      <c r="AL611" s="183"/>
      <c r="AM611" s="183"/>
      <c r="AN611" s="183"/>
    </row>
    <row r="612" spans="2:40" x14ac:dyDescent="0.25">
      <c r="B612" s="12" t="s">
        <v>78</v>
      </c>
      <c r="C612" s="13" t="s">
        <v>79</v>
      </c>
      <c r="D612" s="3" t="s">
        <v>66</v>
      </c>
      <c r="E612" s="49">
        <v>0</v>
      </c>
      <c r="F612" s="49">
        <f>IF(YEAR(Postup!$H$25)&gt;$D$564,Provozování!AX54,IF(AND(DAY(Postup!$H$25)=31,MONTH(Postup!$H$25)=12,YEAR(Postup!$H$25)=$D$564),Provozování!AX54,IF(YEAR(Postup!$H$25)=$D$564,Provozování!$BL54,0)))</f>
        <v>0</v>
      </c>
      <c r="G612" s="49">
        <v>0</v>
      </c>
      <c r="H612" s="32">
        <f>IF(YEAR(Postup!$H$25)&gt;$D$564,Provozování!AY54,IF(AND(DAY(Postup!$H$25)=31,MONTH(Postup!$H$25)=12,YEAR(Postup!$H$25)=$D$564),Provozování!AY54,IF(YEAR(Postup!$H$25)=$D$564,Provozování!$BM54,0)))</f>
        <v>0</v>
      </c>
      <c r="K612" s="12" t="s">
        <v>78</v>
      </c>
      <c r="L612" s="13" t="s">
        <v>79</v>
      </c>
      <c r="M612" s="3" t="s">
        <v>66</v>
      </c>
      <c r="N612" s="49">
        <v>0</v>
      </c>
      <c r="O612" s="49">
        <f>IF(Provozování!$AZ$16="Neaktivní",0,Provozování!AZ54)</f>
        <v>0</v>
      </c>
      <c r="P612" s="49">
        <v>0</v>
      </c>
      <c r="Q612" s="32">
        <f>IF(Provozování!$AZ$16="Neaktivní",0,Provozování!BA54)</f>
        <v>0</v>
      </c>
      <c r="T612" s="12" t="s">
        <v>78</v>
      </c>
      <c r="U612" s="13" t="s">
        <v>79</v>
      </c>
      <c r="V612" s="3" t="s">
        <v>66</v>
      </c>
      <c r="W612" s="595">
        <v>0</v>
      </c>
      <c r="X612" s="49">
        <f>IF(Provozování!$AX$16="Neaktivní",F612,F612*Výpočty!$P$58+O612)</f>
        <v>0</v>
      </c>
      <c r="Y612" s="49">
        <f>W612-X612</f>
        <v>0</v>
      </c>
      <c r="Z612" s="595">
        <v>0</v>
      </c>
      <c r="AA612" s="49">
        <f>IF(Provozování!$AX$16="Neaktivní",H612,H612*Výpočty!$P$58+Q612)</f>
        <v>0</v>
      </c>
      <c r="AB612" s="32">
        <f t="shared" si="254"/>
        <v>0</v>
      </c>
      <c r="AC612" s="183"/>
      <c r="AD612" s="183"/>
      <c r="AE612" s="532" t="s">
        <v>403</v>
      </c>
      <c r="AF612" s="532"/>
      <c r="AG612" s="455">
        <f>SUM(AG608:AG611)</f>
        <v>0</v>
      </c>
      <c r="AH612" s="455">
        <f ca="1">SUM(AH608:AH611)</f>
        <v>0</v>
      </c>
      <c r="AK612" s="183"/>
      <c r="AL612" s="183"/>
      <c r="AM612" s="183"/>
      <c r="AN612" s="183"/>
    </row>
    <row r="613" spans="2:40" x14ac:dyDescent="0.25">
      <c r="B613" s="1"/>
      <c r="C613" s="1"/>
      <c r="D613" s="1"/>
      <c r="E613" s="1"/>
      <c r="F613" s="456"/>
      <c r="G613" s="1"/>
      <c r="H613" s="456"/>
      <c r="K613" s="1"/>
      <c r="L613" s="1"/>
      <c r="M613" s="1"/>
      <c r="N613" s="1"/>
      <c r="O613" s="1"/>
      <c r="P613" s="1"/>
      <c r="Q613" s="1"/>
      <c r="T613" s="1"/>
      <c r="U613" s="1"/>
      <c r="V613" s="1"/>
      <c r="W613" s="1"/>
      <c r="X613" s="1"/>
      <c r="Y613" s="1"/>
      <c r="Z613" s="1"/>
      <c r="AA613" s="1"/>
      <c r="AB613" s="1"/>
      <c r="AC613" s="183"/>
      <c r="AD613" s="183"/>
      <c r="AE613" s="183"/>
      <c r="AF613" s="183"/>
      <c r="AG613" s="183"/>
      <c r="AH613" s="183"/>
      <c r="AI613" s="183"/>
      <c r="AJ613" s="183"/>
      <c r="AK613" s="183"/>
      <c r="AL613" s="183"/>
      <c r="AM613" s="183"/>
      <c r="AN613" s="183"/>
    </row>
    <row r="614" spans="2:40" x14ac:dyDescent="0.25">
      <c r="B614" s="932" t="s">
        <v>5</v>
      </c>
      <c r="C614" s="721" t="s">
        <v>80</v>
      </c>
      <c r="D614" s="722"/>
      <c r="E614" s="723"/>
      <c r="F614" s="724"/>
      <c r="G614" s="722"/>
      <c r="H614" s="725"/>
      <c r="K614" s="932" t="s">
        <v>5</v>
      </c>
      <c r="L614" s="721" t="s">
        <v>80</v>
      </c>
      <c r="M614" s="722"/>
      <c r="N614" s="723"/>
      <c r="O614" s="724"/>
      <c r="P614" s="722"/>
      <c r="Q614" s="725"/>
      <c r="T614" s="771" t="s">
        <v>5</v>
      </c>
      <c r="U614" s="721" t="s">
        <v>80</v>
      </c>
      <c r="V614" s="722"/>
      <c r="W614" s="723"/>
      <c r="X614" s="723"/>
      <c r="Y614" s="724"/>
      <c r="Z614" s="722"/>
      <c r="AA614" s="722"/>
      <c r="AB614" s="725"/>
      <c r="AC614" s="183"/>
      <c r="AD614" s="183"/>
      <c r="AE614" s="183"/>
      <c r="AF614" s="183"/>
      <c r="AG614" s="183"/>
      <c r="AH614" s="183"/>
      <c r="AI614" s="183"/>
      <c r="AJ614" s="183"/>
      <c r="AK614" s="183"/>
      <c r="AL614" s="183"/>
      <c r="AM614" s="183"/>
      <c r="AN614" s="183"/>
    </row>
    <row r="615" spans="2:40" x14ac:dyDescent="0.25">
      <c r="B615" s="930"/>
      <c r="C615" s="932" t="s">
        <v>81</v>
      </c>
      <c r="D615" s="929" t="s">
        <v>173</v>
      </c>
      <c r="E615" s="874" t="s">
        <v>118</v>
      </c>
      <c r="F615" s="937"/>
      <c r="G615" s="26" t="s">
        <v>3</v>
      </c>
      <c r="H615" s="23" t="s">
        <v>4</v>
      </c>
      <c r="K615" s="930"/>
      <c r="L615" s="5" t="s">
        <v>81</v>
      </c>
      <c r="M615" s="929" t="s">
        <v>173</v>
      </c>
      <c r="N615" s="874" t="s">
        <v>118</v>
      </c>
      <c r="O615" s="937"/>
      <c r="P615" s="26" t="s">
        <v>3</v>
      </c>
      <c r="Q615" s="23" t="s">
        <v>4</v>
      </c>
      <c r="T615" s="934"/>
      <c r="U615" s="932" t="s">
        <v>81</v>
      </c>
      <c r="V615" s="929" t="s">
        <v>173</v>
      </c>
      <c r="W615" s="874" t="s">
        <v>118</v>
      </c>
      <c r="X615" s="937"/>
      <c r="Y615" s="874" t="s">
        <v>3</v>
      </c>
      <c r="Z615" s="939"/>
      <c r="AA615" s="940" t="s">
        <v>4</v>
      </c>
      <c r="AB615" s="940"/>
      <c r="AC615" s="183"/>
      <c r="AD615" s="183"/>
      <c r="AE615" s="183"/>
      <c r="AF615" s="183"/>
      <c r="AG615" s="183"/>
      <c r="AH615" s="183"/>
      <c r="AI615" s="183"/>
      <c r="AJ615" s="183"/>
      <c r="AK615" s="183"/>
      <c r="AL615" s="183"/>
      <c r="AM615" s="183"/>
      <c r="AN615" s="183"/>
    </row>
    <row r="616" spans="2:40" x14ac:dyDescent="0.25">
      <c r="B616" s="931"/>
      <c r="C616" s="931"/>
      <c r="D616" s="936"/>
      <c r="E616" s="875"/>
      <c r="F616" s="938"/>
      <c r="G616" s="27" t="s">
        <v>7</v>
      </c>
      <c r="H616" s="24" t="s">
        <v>7</v>
      </c>
      <c r="K616" s="931"/>
      <c r="L616" s="8"/>
      <c r="M616" s="936"/>
      <c r="N616" s="875"/>
      <c r="O616" s="938"/>
      <c r="P616" s="27" t="s">
        <v>7</v>
      </c>
      <c r="Q616" s="24" t="s">
        <v>7</v>
      </c>
      <c r="T616" s="935"/>
      <c r="U616" s="931"/>
      <c r="V616" s="936"/>
      <c r="W616" s="875"/>
      <c r="X616" s="938"/>
      <c r="Y616" s="40" t="s">
        <v>196</v>
      </c>
      <c r="Z616" s="40" t="s">
        <v>7</v>
      </c>
      <c r="AA616" s="40" t="s">
        <v>196</v>
      </c>
      <c r="AB616" s="40" t="s">
        <v>7</v>
      </c>
      <c r="AC616" s="183"/>
      <c r="AD616" s="183"/>
      <c r="AE616" s="183"/>
      <c r="AF616" s="183"/>
      <c r="AG616" s="183"/>
      <c r="AH616" s="183"/>
      <c r="AI616" s="183"/>
      <c r="AJ616" s="183"/>
      <c r="AK616" s="183"/>
      <c r="AL616" s="183"/>
      <c r="AM616" s="183"/>
      <c r="AN616" s="183"/>
    </row>
    <row r="617" spans="2:40" x14ac:dyDescent="0.25">
      <c r="B617" s="11">
        <v>1</v>
      </c>
      <c r="C617" s="11">
        <v>2</v>
      </c>
      <c r="D617" s="11" t="s">
        <v>111</v>
      </c>
      <c r="E617" s="735" t="s">
        <v>115</v>
      </c>
      <c r="F617" s="736"/>
      <c r="G617" s="11" t="s">
        <v>116</v>
      </c>
      <c r="H617" s="22" t="s">
        <v>117</v>
      </c>
      <c r="K617" s="11">
        <v>1</v>
      </c>
      <c r="L617" s="11">
        <v>2</v>
      </c>
      <c r="M617" s="11" t="s">
        <v>111</v>
      </c>
      <c r="N617" s="735" t="s">
        <v>115</v>
      </c>
      <c r="O617" s="736"/>
      <c r="P617" s="11" t="s">
        <v>116</v>
      </c>
      <c r="Q617" s="22" t="s">
        <v>117</v>
      </c>
      <c r="T617" s="11">
        <v>1</v>
      </c>
      <c r="U617" s="11">
        <v>2</v>
      </c>
      <c r="V617" s="11" t="s">
        <v>111</v>
      </c>
      <c r="W617" s="944" t="s">
        <v>115</v>
      </c>
      <c r="X617" s="945"/>
      <c r="Y617" s="11" t="s">
        <v>201</v>
      </c>
      <c r="Z617" s="11" t="s">
        <v>116</v>
      </c>
      <c r="AA617" s="11" t="s">
        <v>200</v>
      </c>
      <c r="AB617" s="22" t="s">
        <v>117</v>
      </c>
      <c r="AC617" s="183"/>
      <c r="AD617" s="183"/>
      <c r="AE617" s="183"/>
      <c r="AF617" s="183"/>
      <c r="AG617" s="183"/>
      <c r="AH617" s="183"/>
      <c r="AI617" s="183"/>
      <c r="AJ617" s="183"/>
      <c r="AK617" s="183"/>
      <c r="AL617" s="183"/>
      <c r="AM617" s="183"/>
      <c r="AN617" s="183"/>
    </row>
    <row r="618" spans="2:40" x14ac:dyDescent="0.25">
      <c r="B618" s="12" t="s">
        <v>82</v>
      </c>
      <c r="C618" s="13" t="s">
        <v>127</v>
      </c>
      <c r="D618" s="13" t="s">
        <v>83</v>
      </c>
      <c r="E618" s="732" t="s">
        <v>120</v>
      </c>
      <c r="F618" s="733"/>
      <c r="G618" s="171">
        <f>IF(G624=0,0,G619/G624)</f>
        <v>0</v>
      </c>
      <c r="H618" s="172">
        <f>IF(H624=0,0,H619/H624)</f>
        <v>0</v>
      </c>
      <c r="K618" s="12" t="s">
        <v>82</v>
      </c>
      <c r="L618" s="13" t="s">
        <v>127</v>
      </c>
      <c r="M618" s="13" t="s">
        <v>83</v>
      </c>
      <c r="N618" s="732" t="s">
        <v>120</v>
      </c>
      <c r="O618" s="733"/>
      <c r="P618" s="171">
        <f>IF(P624=0,0,P619/P624)</f>
        <v>0</v>
      </c>
      <c r="Q618" s="172">
        <f>IF(Q624=0,0,Q619/Q624)</f>
        <v>0</v>
      </c>
      <c r="T618" s="12" t="s">
        <v>82</v>
      </c>
      <c r="U618" s="13" t="s">
        <v>127</v>
      </c>
      <c r="V618" s="13" t="s">
        <v>83</v>
      </c>
      <c r="W618" s="13" t="s">
        <v>120</v>
      </c>
      <c r="X618" s="101"/>
      <c r="Y618" s="171">
        <f t="shared" ref="Y618:AB618" si="255">IF(Y624=0,0,Y619/Y624)</f>
        <v>0</v>
      </c>
      <c r="Z618" s="171">
        <f t="shared" si="255"/>
        <v>0</v>
      </c>
      <c r="AA618" s="171">
        <f t="shared" si="255"/>
        <v>0</v>
      </c>
      <c r="AB618" s="172">
        <f t="shared" si="255"/>
        <v>0</v>
      </c>
      <c r="AC618" s="183"/>
      <c r="AD618" s="183"/>
      <c r="AE618" s="183"/>
      <c r="AF618" s="183"/>
      <c r="AG618" s="183"/>
      <c r="AH618" s="183"/>
      <c r="AI618" s="183"/>
      <c r="AJ618" s="183"/>
      <c r="AK618" s="183"/>
      <c r="AL618" s="183"/>
      <c r="AM618" s="183"/>
      <c r="AN618" s="183"/>
    </row>
    <row r="619" spans="2:40" x14ac:dyDescent="0.25">
      <c r="B619" s="12" t="s">
        <v>84</v>
      </c>
      <c r="C619" s="13" t="s">
        <v>85</v>
      </c>
      <c r="D619" s="13" t="s">
        <v>10</v>
      </c>
      <c r="E619" s="732" t="s">
        <v>121</v>
      </c>
      <c r="F619" s="733"/>
      <c r="G619" s="448">
        <f>F601</f>
        <v>0</v>
      </c>
      <c r="H619" s="449">
        <f>H601</f>
        <v>0</v>
      </c>
      <c r="K619" s="12" t="s">
        <v>84</v>
      </c>
      <c r="L619" s="13" t="s">
        <v>85</v>
      </c>
      <c r="M619" s="13" t="s">
        <v>10</v>
      </c>
      <c r="N619" s="732" t="s">
        <v>121</v>
      </c>
      <c r="O619" s="733"/>
      <c r="P619" s="448">
        <f>O601</f>
        <v>0</v>
      </c>
      <c r="Q619" s="449">
        <f>Q601</f>
        <v>0</v>
      </c>
      <c r="T619" s="12" t="s">
        <v>84</v>
      </c>
      <c r="U619" s="13" t="s">
        <v>85</v>
      </c>
      <c r="V619" s="13" t="s">
        <v>10</v>
      </c>
      <c r="W619" s="13" t="s">
        <v>121</v>
      </c>
      <c r="X619" s="101"/>
      <c r="Y619" s="14">
        <f>W601</f>
        <v>0</v>
      </c>
      <c r="Z619" s="14">
        <f>X601</f>
        <v>0</v>
      </c>
      <c r="AA619" s="14">
        <f>Z601</f>
        <v>0</v>
      </c>
      <c r="AB619" s="15">
        <f>AA601</f>
        <v>0</v>
      </c>
      <c r="AC619" s="183"/>
      <c r="AD619" s="183"/>
      <c r="AE619" s="183"/>
      <c r="AF619" s="183"/>
      <c r="AG619" s="183"/>
      <c r="AH619" s="183"/>
      <c r="AI619" s="183"/>
      <c r="AJ619" s="183"/>
      <c r="AK619" s="183"/>
      <c r="AL619" s="183"/>
      <c r="AM619" s="183"/>
      <c r="AN619" s="183"/>
    </row>
    <row r="620" spans="2:40" x14ac:dyDescent="0.25">
      <c r="B620" s="12" t="s">
        <v>86</v>
      </c>
      <c r="C620" s="13" t="s">
        <v>87</v>
      </c>
      <c r="D620" s="13" t="s">
        <v>10</v>
      </c>
      <c r="E620" s="732"/>
      <c r="F620" s="733"/>
      <c r="G620" s="448">
        <f>IF(YEAR(Postup!$H$25)&gt;$D564,Provozování!AX$85,IF(AND(DAY(Postup!$H$25)=31,MONTH(Postup!$H$25)=12,YEAR(Postup!$H$25)=$D564),Provozování!AX$85,IF(YEAR(Postup!$H$25)=$D564,Provozování!$BL$85,0)))</f>
        <v>0</v>
      </c>
      <c r="H620" s="449">
        <f>IF(YEAR(Postup!$H$25)&gt;$D564,Provozování!AX$85,IF(AND(DAY(Postup!$H$25)=31,MONTH(Postup!$H$25)=12,YEAR(Postup!$H$25)=$D564),Provozování!AX$85,IF(YEAR(Postup!$H$25)=$D564,Provozování!$BM$85,0)))</f>
        <v>0</v>
      </c>
      <c r="K620" s="12" t="s">
        <v>86</v>
      </c>
      <c r="L620" s="13" t="s">
        <v>87</v>
      </c>
      <c r="M620" s="13" t="s">
        <v>10</v>
      </c>
      <c r="N620" s="732"/>
      <c r="O620" s="733"/>
      <c r="P620" s="448">
        <f>IF(Provozování!$AX$16="Neaktivní",0,Provozování!AX$85)</f>
        <v>0</v>
      </c>
      <c r="Q620" s="449">
        <f ca="1">IF(Provozování!AX$16="Neaktivní",0,Provozování!AY$85)</f>
        <v>7.758654207907981E-3</v>
      </c>
      <c r="T620" s="12" t="s">
        <v>86</v>
      </c>
      <c r="U620" s="13" t="s">
        <v>87</v>
      </c>
      <c r="V620" s="13" t="s">
        <v>10</v>
      </c>
      <c r="W620" s="13"/>
      <c r="X620" s="101"/>
      <c r="Y620" s="595">
        <v>0</v>
      </c>
      <c r="Z620" s="14">
        <f>IF(Provozování!$AX$16="Neaktivní",G620,G620*Výpočty!$P$58+P620)</f>
        <v>0</v>
      </c>
      <c r="AA620" s="595">
        <v>0</v>
      </c>
      <c r="AB620" s="15">
        <f ca="1">IF(Provozování!$AX$16="Neaktivní",H620,H620*Výpočty!$P$58+Q620)</f>
        <v>7.758654207907981E-3</v>
      </c>
      <c r="AC620" s="183"/>
      <c r="AD620" s="183"/>
      <c r="AE620" s="183"/>
      <c r="AF620" s="183"/>
      <c r="AG620" s="183"/>
      <c r="AH620" s="183"/>
      <c r="AI620" s="183"/>
      <c r="AJ620" s="183"/>
      <c r="AK620" s="183"/>
      <c r="AL620" s="183"/>
      <c r="AM620" s="183"/>
      <c r="AN620" s="183"/>
    </row>
    <row r="621" spans="2:40" x14ac:dyDescent="0.25">
      <c r="B621" s="12" t="s">
        <v>88</v>
      </c>
      <c r="C621" s="21" t="s">
        <v>89</v>
      </c>
      <c r="D621" s="13" t="s">
        <v>90</v>
      </c>
      <c r="E621" s="732" t="s">
        <v>123</v>
      </c>
      <c r="F621" s="733"/>
      <c r="G621" s="171">
        <f>IF(G619=0,0,G620/G619*100)</f>
        <v>0</v>
      </c>
      <c r="H621" s="172">
        <f>IF(H619=0,0,H620/H619*100)</f>
        <v>0</v>
      </c>
      <c r="K621" s="12" t="s">
        <v>88</v>
      </c>
      <c r="L621" s="21" t="s">
        <v>89</v>
      </c>
      <c r="M621" s="13" t="s">
        <v>90</v>
      </c>
      <c r="N621" s="732" t="s">
        <v>123</v>
      </c>
      <c r="O621" s="733"/>
      <c r="P621" s="171">
        <f>IF(P619=0,0,P620/P619*100)</f>
        <v>0</v>
      </c>
      <c r="Q621" s="172">
        <f>IF(Q619=0,0,Q620/Q619*100)</f>
        <v>0</v>
      </c>
      <c r="T621" s="12" t="s">
        <v>88</v>
      </c>
      <c r="U621" s="21" t="s">
        <v>89</v>
      </c>
      <c r="V621" s="13" t="s">
        <v>90</v>
      </c>
      <c r="W621" s="13" t="s">
        <v>123</v>
      </c>
      <c r="X621" s="101"/>
      <c r="Y621" s="171">
        <f t="shared" ref="Y621:AB621" si="256">IF(Y619=0,0,Y620/Y619*100)</f>
        <v>0</v>
      </c>
      <c r="Z621" s="171">
        <f t="shared" si="256"/>
        <v>0</v>
      </c>
      <c r="AA621" s="171">
        <f t="shared" si="256"/>
        <v>0</v>
      </c>
      <c r="AB621" s="172">
        <f t="shared" si="256"/>
        <v>0</v>
      </c>
      <c r="AC621" s="183"/>
      <c r="AD621" s="183"/>
      <c r="AE621" s="183"/>
      <c r="AF621" s="183"/>
      <c r="AG621" s="183"/>
      <c r="AH621" s="183"/>
      <c r="AI621" s="183"/>
      <c r="AJ621" s="183"/>
      <c r="AK621" s="183"/>
      <c r="AL621" s="183"/>
      <c r="AM621" s="183"/>
      <c r="AN621" s="183"/>
    </row>
    <row r="622" spans="2:40" x14ac:dyDescent="0.25">
      <c r="B622" s="12" t="s">
        <v>91</v>
      </c>
      <c r="C622" s="21" t="s">
        <v>92</v>
      </c>
      <c r="D622" s="13" t="s">
        <v>10</v>
      </c>
      <c r="E622" s="732"/>
      <c r="F622" s="733"/>
      <c r="G622" s="411">
        <v>0</v>
      </c>
      <c r="H622" s="136">
        <v>0</v>
      </c>
      <c r="K622" s="12" t="s">
        <v>91</v>
      </c>
      <c r="L622" s="21" t="s">
        <v>92</v>
      </c>
      <c r="M622" s="13" t="s">
        <v>10</v>
      </c>
      <c r="N622" s="732"/>
      <c r="O622" s="733"/>
      <c r="P622" s="411">
        <v>0</v>
      </c>
      <c r="Q622" s="136">
        <v>0</v>
      </c>
      <c r="T622" s="12" t="s">
        <v>91</v>
      </c>
      <c r="U622" s="21" t="s">
        <v>92</v>
      </c>
      <c r="V622" s="13" t="s">
        <v>10</v>
      </c>
      <c r="W622" s="13"/>
      <c r="X622" s="101"/>
      <c r="Y622" s="445">
        <v>0</v>
      </c>
      <c r="Z622" s="445">
        <v>0</v>
      </c>
      <c r="AA622" s="445">
        <v>0</v>
      </c>
      <c r="AB622" s="442">
        <v>0</v>
      </c>
      <c r="AC622" s="183"/>
      <c r="AD622" s="183"/>
      <c r="AE622" s="183"/>
      <c r="AF622" s="183"/>
      <c r="AG622" s="183"/>
      <c r="AH622" s="183"/>
      <c r="AI622" s="183"/>
      <c r="AJ622" s="183"/>
      <c r="AK622" s="183"/>
      <c r="AL622" s="183"/>
      <c r="AM622" s="183"/>
      <c r="AN622" s="183"/>
    </row>
    <row r="623" spans="2:40" x14ac:dyDescent="0.25">
      <c r="B623" s="12" t="s">
        <v>93</v>
      </c>
      <c r="C623" s="13" t="s">
        <v>94</v>
      </c>
      <c r="D623" s="13" t="s">
        <v>10</v>
      </c>
      <c r="E623" s="732" t="s">
        <v>122</v>
      </c>
      <c r="F623" s="733"/>
      <c r="G623" s="448">
        <f>G619+G620</f>
        <v>0</v>
      </c>
      <c r="H623" s="449">
        <f>H619+H620</f>
        <v>0</v>
      </c>
      <c r="K623" s="12" t="s">
        <v>93</v>
      </c>
      <c r="L623" s="13" t="s">
        <v>94</v>
      </c>
      <c r="M623" s="13" t="s">
        <v>10</v>
      </c>
      <c r="N623" s="732" t="s">
        <v>122</v>
      </c>
      <c r="O623" s="733"/>
      <c r="P623" s="448">
        <f>P619+P620</f>
        <v>0</v>
      </c>
      <c r="Q623" s="449">
        <f ca="1">Q619+Q620</f>
        <v>7.758654207907981E-3</v>
      </c>
      <c r="T623" s="12" t="s">
        <v>93</v>
      </c>
      <c r="U623" s="13" t="s">
        <v>94</v>
      </c>
      <c r="V623" s="13" t="s">
        <v>10</v>
      </c>
      <c r="W623" s="13" t="s">
        <v>122</v>
      </c>
      <c r="X623" s="101"/>
      <c r="Y623" s="448">
        <f t="shared" ref="Y623:AB623" si="257">Y619+Y620</f>
        <v>0</v>
      </c>
      <c r="Z623" s="448">
        <f t="shared" si="257"/>
        <v>0</v>
      </c>
      <c r="AA623" s="448">
        <f t="shared" si="257"/>
        <v>0</v>
      </c>
      <c r="AB623" s="449">
        <f t="shared" ca="1" si="257"/>
        <v>7.758654207907981E-3</v>
      </c>
      <c r="AC623" s="183"/>
      <c r="AD623" s="183"/>
      <c r="AE623" s="183"/>
      <c r="AF623" s="183"/>
      <c r="AG623" s="183"/>
      <c r="AH623" s="183"/>
      <c r="AI623" s="183"/>
      <c r="AJ623" s="183"/>
      <c r="AK623" s="183"/>
      <c r="AL623" s="183"/>
      <c r="AM623" s="183"/>
      <c r="AN623" s="183"/>
    </row>
    <row r="624" spans="2:40" x14ac:dyDescent="0.25">
      <c r="B624" s="12" t="s">
        <v>95</v>
      </c>
      <c r="C624" s="13" t="s">
        <v>96</v>
      </c>
      <c r="D624" s="13" t="s">
        <v>66</v>
      </c>
      <c r="E624" s="732" t="s">
        <v>124</v>
      </c>
      <c r="F624" s="733"/>
      <c r="G624" s="448">
        <f>F605</f>
        <v>0</v>
      </c>
      <c r="H624" s="449">
        <f>H607+H609</f>
        <v>0</v>
      </c>
      <c r="K624" s="12" t="s">
        <v>95</v>
      </c>
      <c r="L624" s="13" t="s">
        <v>96</v>
      </c>
      <c r="M624" s="13" t="s">
        <v>66</v>
      </c>
      <c r="N624" s="732" t="s">
        <v>124</v>
      </c>
      <c r="O624" s="733"/>
      <c r="P624" s="448">
        <f>O605</f>
        <v>0</v>
      </c>
      <c r="Q624" s="449">
        <f>Q607+Q609</f>
        <v>0</v>
      </c>
      <c r="T624" s="12" t="s">
        <v>95</v>
      </c>
      <c r="U624" s="13" t="s">
        <v>96</v>
      </c>
      <c r="V624" s="13" t="s">
        <v>66</v>
      </c>
      <c r="W624" s="13" t="s">
        <v>124</v>
      </c>
      <c r="X624" s="101"/>
      <c r="Y624" s="14">
        <f>W605</f>
        <v>0</v>
      </c>
      <c r="Z624" s="14">
        <f>X605</f>
        <v>0</v>
      </c>
      <c r="AA624" s="14">
        <f>Z607+Z609</f>
        <v>0</v>
      </c>
      <c r="AB624" s="15">
        <f>AA607+AA609</f>
        <v>0</v>
      </c>
      <c r="AC624" s="183"/>
      <c r="AD624" s="183"/>
      <c r="AE624" s="183"/>
      <c r="AF624" s="183"/>
      <c r="AG624" s="183"/>
      <c r="AH624" s="183"/>
      <c r="AI624" s="183"/>
      <c r="AJ624" s="183"/>
      <c r="AK624" s="183"/>
      <c r="AL624" s="183"/>
      <c r="AM624" s="183"/>
      <c r="AN624" s="183"/>
    </row>
    <row r="625" spans="1:40" x14ac:dyDescent="0.25">
      <c r="B625" s="12" t="s">
        <v>97</v>
      </c>
      <c r="C625" s="13" t="s">
        <v>98</v>
      </c>
      <c r="D625" s="13" t="s">
        <v>83</v>
      </c>
      <c r="E625" s="732" t="s">
        <v>125</v>
      </c>
      <c r="F625" s="733"/>
      <c r="G625" s="171">
        <f>IF(G624=0,0,G623/G624)</f>
        <v>0</v>
      </c>
      <c r="H625" s="172">
        <f>IF(H624=0,0,H623/H624)</f>
        <v>0</v>
      </c>
      <c r="K625" s="12" t="s">
        <v>97</v>
      </c>
      <c r="L625" s="13" t="s">
        <v>98</v>
      </c>
      <c r="M625" s="13" t="s">
        <v>83</v>
      </c>
      <c r="N625" s="732" t="s">
        <v>125</v>
      </c>
      <c r="O625" s="733"/>
      <c r="P625" s="171">
        <f>IF(P624=0,0,P623/P624)</f>
        <v>0</v>
      </c>
      <c r="Q625" s="172">
        <f>IF(Q624=0,0,Q623/Q624)</f>
        <v>0</v>
      </c>
      <c r="T625" s="12" t="s">
        <v>97</v>
      </c>
      <c r="U625" s="13" t="s">
        <v>98</v>
      </c>
      <c r="V625" s="13" t="s">
        <v>83</v>
      </c>
      <c r="W625" s="13" t="s">
        <v>125</v>
      </c>
      <c r="X625" s="101"/>
      <c r="Y625" s="171">
        <f t="shared" ref="Y625:AB625" si="258">IF(Y624=0,0,Y623/Y624)</f>
        <v>0</v>
      </c>
      <c r="Z625" s="171">
        <f t="shared" si="258"/>
        <v>0</v>
      </c>
      <c r="AA625" s="171">
        <f t="shared" si="258"/>
        <v>0</v>
      </c>
      <c r="AB625" s="172">
        <f t="shared" si="258"/>
        <v>0</v>
      </c>
      <c r="AC625" s="183"/>
      <c r="AD625" s="183"/>
      <c r="AE625" s="183"/>
      <c r="AF625" s="183"/>
      <c r="AG625" s="183"/>
      <c r="AH625" s="183"/>
      <c r="AI625" s="183"/>
      <c r="AJ625" s="183"/>
      <c r="AK625" s="183"/>
      <c r="AL625" s="183"/>
      <c r="AM625" s="183"/>
      <c r="AN625" s="183"/>
    </row>
    <row r="626" spans="1:40" x14ac:dyDescent="0.25">
      <c r="B626" s="12" t="s">
        <v>99</v>
      </c>
      <c r="C626" s="13" t="str">
        <f>CONCATENATE("CENA pro vodné, stočné + ",Provozování!AX$93*100,"% DPH")</f>
        <v>CENA pro vodné, stočné + 15% DPH</v>
      </c>
      <c r="D626" s="13" t="s">
        <v>83</v>
      </c>
      <c r="E626" s="732" t="s">
        <v>126</v>
      </c>
      <c r="F626" s="733"/>
      <c r="G626" s="171">
        <f>G625*(1+Provozování!AX$93)</f>
        <v>0</v>
      </c>
      <c r="H626" s="172">
        <f>H625*(1+Provozování!AY$93)</f>
        <v>0</v>
      </c>
      <c r="K626" s="12" t="s">
        <v>99</v>
      </c>
      <c r="L626" s="13" t="str">
        <f>C626</f>
        <v>CENA pro vodné, stočné + 15% DPH</v>
      </c>
      <c r="M626" s="13" t="s">
        <v>83</v>
      </c>
      <c r="N626" s="732" t="s">
        <v>126</v>
      </c>
      <c r="O626" s="733"/>
      <c r="P626" s="171">
        <f>P625*(1+Provozování!AX$93)</f>
        <v>0</v>
      </c>
      <c r="Q626" s="172">
        <f>Q625*(1+Provozování!AY$93)</f>
        <v>0</v>
      </c>
      <c r="T626" s="12" t="s">
        <v>99</v>
      </c>
      <c r="U626" s="13" t="str">
        <f>C626</f>
        <v>CENA pro vodné, stočné + 15% DPH</v>
      </c>
      <c r="V626" s="13" t="s">
        <v>83</v>
      </c>
      <c r="W626" s="13" t="s">
        <v>126</v>
      </c>
      <c r="X626" s="101"/>
      <c r="Y626" s="171">
        <f>Y625*(1+Provozování!AX$93)</f>
        <v>0</v>
      </c>
      <c r="Z626" s="171">
        <f>Z625*(1+Provozování!AX$93)</f>
        <v>0</v>
      </c>
      <c r="AA626" s="171">
        <f>AA625*(1+Provozování!AY$93)</f>
        <v>0</v>
      </c>
      <c r="AB626" s="172">
        <f>AB625*(1+Provozování!AY$93)</f>
        <v>0</v>
      </c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</row>
    <row r="627" spans="1:40" x14ac:dyDescent="0.25">
      <c r="T627" s="916" t="s">
        <v>203</v>
      </c>
      <c r="U627" s="916" t="s">
        <v>202</v>
      </c>
      <c r="V627" s="744" t="s">
        <v>10</v>
      </c>
      <c r="W627" s="919" t="s">
        <v>204</v>
      </c>
      <c r="X627" s="732"/>
      <c r="Y627" s="102" t="s">
        <v>206</v>
      </c>
      <c r="Z627" s="105" t="s">
        <v>207</v>
      </c>
      <c r="AA627" s="102" t="s">
        <v>206</v>
      </c>
      <c r="AB627" s="105" t="s">
        <v>207</v>
      </c>
      <c r="AC627" s="183"/>
      <c r="AD627" s="183"/>
      <c r="AE627" s="183"/>
      <c r="AF627" s="183"/>
      <c r="AG627" s="183"/>
      <c r="AH627" s="183"/>
      <c r="AI627" s="183"/>
      <c r="AJ627" s="183"/>
      <c r="AK627" s="183"/>
      <c r="AL627" s="183"/>
      <c r="AM627" s="183"/>
      <c r="AN627" s="183"/>
    </row>
    <row r="628" spans="1:40" x14ac:dyDescent="0.25">
      <c r="B628" s="500" t="s">
        <v>354</v>
      </c>
      <c r="T628" s="917"/>
      <c r="U628" s="917"/>
      <c r="V628" s="745"/>
      <c r="W628" s="920">
        <v>0</v>
      </c>
      <c r="X628" s="921"/>
      <c r="Y628" s="103">
        <f>W564</f>
        <v>2028</v>
      </c>
      <c r="Z628" s="103">
        <f>W564</f>
        <v>2028</v>
      </c>
      <c r="AA628" s="103">
        <f>W564</f>
        <v>2028</v>
      </c>
      <c r="AB628" s="103">
        <f>W564</f>
        <v>2028</v>
      </c>
      <c r="AC628" s="183"/>
      <c r="AD628" s="183"/>
      <c r="AE628" s="183"/>
      <c r="AF628" s="183"/>
      <c r="AG628" s="183"/>
      <c r="AH628" s="183"/>
      <c r="AI628" s="183"/>
      <c r="AJ628" s="183"/>
      <c r="AK628" s="183"/>
      <c r="AL628" s="183"/>
      <c r="AM628" s="183"/>
      <c r="AN628" s="183"/>
    </row>
    <row r="629" spans="1:40" x14ac:dyDescent="0.25">
      <c r="B629" s="500" t="s">
        <v>355</v>
      </c>
      <c r="T629" s="917"/>
      <c r="U629" s="917"/>
      <c r="V629" s="745"/>
      <c r="W629" s="919" t="s">
        <v>205</v>
      </c>
      <c r="X629" s="732"/>
      <c r="Y629" s="104" t="s">
        <v>208</v>
      </c>
      <c r="Z629" s="104" t="s">
        <v>208</v>
      </c>
      <c r="AA629" s="104" t="s">
        <v>209</v>
      </c>
      <c r="AB629" s="104" t="s">
        <v>209</v>
      </c>
      <c r="AC629" s="183"/>
      <c r="AD629" s="183"/>
      <c r="AE629" s="183"/>
      <c r="AF629" s="183"/>
      <c r="AG629" s="183"/>
      <c r="AH629" s="183"/>
      <c r="AI629" s="183"/>
      <c r="AJ629" s="183"/>
      <c r="AK629" s="183"/>
      <c r="AL629" s="183"/>
      <c r="AM629" s="183"/>
      <c r="AN629" s="183"/>
    </row>
    <row r="630" spans="1:40" x14ac:dyDescent="0.25">
      <c r="T630" s="918"/>
      <c r="U630" s="918"/>
      <c r="V630" s="746"/>
      <c r="W630" s="922">
        <v>0</v>
      </c>
      <c r="X630" s="920"/>
      <c r="Y630" s="597">
        <v>0</v>
      </c>
      <c r="Z630" s="597">
        <v>0</v>
      </c>
      <c r="AA630" s="597">
        <v>0</v>
      </c>
      <c r="AB630" s="597">
        <v>0</v>
      </c>
      <c r="AC630" s="183"/>
      <c r="AD630" s="183"/>
      <c r="AE630" s="183"/>
      <c r="AF630" s="183"/>
      <c r="AG630" s="183"/>
      <c r="AH630" s="183"/>
      <c r="AI630" s="183"/>
      <c r="AJ630" s="183"/>
      <c r="AK630" s="183"/>
      <c r="AL630" s="183"/>
      <c r="AM630" s="183"/>
      <c r="AN630" s="183"/>
    </row>
    <row r="631" spans="1:40" x14ac:dyDescent="0.25">
      <c r="A631" s="342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AC631" s="183"/>
      <c r="AD631" s="183"/>
      <c r="AE631" s="183"/>
      <c r="AF631" s="183"/>
      <c r="AG631" s="183"/>
      <c r="AH631" s="183"/>
      <c r="AI631" s="183"/>
      <c r="AJ631" s="183"/>
      <c r="AK631" s="183"/>
      <c r="AL631" s="183"/>
      <c r="AM631" s="183"/>
      <c r="AN631" s="183"/>
    </row>
    <row r="632" spans="1:40" x14ac:dyDescent="0.25">
      <c r="B632" s="726" t="s">
        <v>393</v>
      </c>
      <c r="C632" s="727"/>
      <c r="D632" s="727"/>
      <c r="E632" s="727"/>
      <c r="F632" s="727"/>
      <c r="G632" s="727"/>
      <c r="H632" s="727"/>
      <c r="K632" s="726" t="s">
        <v>394</v>
      </c>
      <c r="L632" s="727"/>
      <c r="M632" s="727"/>
      <c r="N632" s="727"/>
      <c r="O632" s="727"/>
      <c r="P632" s="727"/>
      <c r="Q632" s="727"/>
      <c r="T632" s="726" t="s">
        <v>210</v>
      </c>
      <c r="U632" s="727"/>
      <c r="V632" s="727"/>
      <c r="W632" s="727"/>
      <c r="X632" s="727"/>
      <c r="Y632" s="727"/>
      <c r="Z632" s="727"/>
      <c r="AA632" s="727"/>
      <c r="AB632" s="727"/>
      <c r="AC632" s="183"/>
      <c r="AD632" s="183"/>
      <c r="AE632" s="183"/>
      <c r="AF632" s="183"/>
      <c r="AG632" s="183"/>
      <c r="AH632" s="183"/>
      <c r="AI632" s="183"/>
      <c r="AJ632" s="183"/>
      <c r="AK632" s="183"/>
      <c r="AL632" s="183"/>
      <c r="AM632" s="183"/>
      <c r="AN632" s="183"/>
    </row>
    <row r="633" spans="1:40" x14ac:dyDescent="0.25">
      <c r="C633" s="362"/>
      <c r="E633" s="25"/>
      <c r="F633" s="25"/>
      <c r="L633" s="25"/>
      <c r="N633" s="25"/>
      <c r="T633" s="950" t="s">
        <v>395</v>
      </c>
      <c r="U633" s="950"/>
      <c r="V633" s="950"/>
      <c r="W633" s="950"/>
      <c r="X633" s="950"/>
      <c r="Y633" s="950"/>
      <c r="Z633" s="950"/>
      <c r="AA633" s="950"/>
      <c r="AB633" s="950"/>
      <c r="AC633" s="183"/>
      <c r="AD633" s="183"/>
      <c r="AE633" s="183"/>
      <c r="AF633" s="183"/>
      <c r="AG633" s="183"/>
      <c r="AH633" s="183"/>
      <c r="AI633" s="183"/>
      <c r="AJ633" s="183"/>
      <c r="AK633" s="183"/>
      <c r="AL633" s="183"/>
      <c r="AM633" s="183"/>
      <c r="AN633" s="183"/>
    </row>
    <row r="634" spans="1:40" x14ac:dyDescent="0.25">
      <c r="C634" s="362" t="s">
        <v>119</v>
      </c>
      <c r="D634" s="364">
        <f>D564+1</f>
        <v>2029</v>
      </c>
      <c r="E634" s="25"/>
      <c r="F634" s="362" t="s">
        <v>278</v>
      </c>
      <c r="G634" s="365" t="str">
        <f>Výpočty!Q$56</f>
        <v>-</v>
      </c>
      <c r="H634" s="365" t="str">
        <f>IF(Výpočty!Q$57="-"," ",CONCATENATE("- ",DAY(Výpočty!Q$57),".",MONTH(Výpočty!Q$57),".",D634))</f>
        <v xml:space="preserve"> </v>
      </c>
      <c r="L634" s="362" t="s">
        <v>119</v>
      </c>
      <c r="M634" s="364">
        <f>D634</f>
        <v>2029</v>
      </c>
      <c r="O634" s="362" t="s">
        <v>278</v>
      </c>
      <c r="P634" s="475" t="str">
        <f>Výpočty!Q$52</f>
        <v>-</v>
      </c>
      <c r="Q634" s="475" t="str">
        <f>IF(P634="-"," ",H634)</f>
        <v xml:space="preserve"> </v>
      </c>
      <c r="T634" s="441"/>
      <c r="U634" s="441"/>
      <c r="V634" s="451" t="s">
        <v>195</v>
      </c>
      <c r="W634" s="364">
        <f>D634</f>
        <v>2029</v>
      </c>
      <c r="Z634" s="362" t="s">
        <v>278</v>
      </c>
      <c r="AA634" s="365" t="str">
        <f>G634</f>
        <v>-</v>
      </c>
      <c r="AB634" s="365" t="str">
        <f>H634</f>
        <v xml:space="preserve"> </v>
      </c>
      <c r="AC634" s="183"/>
      <c r="AD634" s="183"/>
      <c r="AE634" s="183"/>
      <c r="AF634" s="183"/>
      <c r="AG634" s="183"/>
      <c r="AH634" s="183"/>
      <c r="AI634" s="183"/>
      <c r="AJ634" s="183"/>
      <c r="AK634" s="183"/>
      <c r="AL634" s="183"/>
      <c r="AM634" s="183"/>
      <c r="AN634" s="183"/>
    </row>
    <row r="635" spans="1:40" x14ac:dyDescent="0.25">
      <c r="B635" s="13" t="s">
        <v>74</v>
      </c>
      <c r="C635" s="13" t="s">
        <v>105</v>
      </c>
      <c r="D635" s="715" t="str">
        <f t="shared" ref="D635:D640" si="259">D565</f>
        <v/>
      </c>
      <c r="E635" s="716"/>
      <c r="F635" s="716"/>
      <c r="G635" s="716"/>
      <c r="H635" s="717"/>
      <c r="K635" s="13" t="s">
        <v>74</v>
      </c>
      <c r="L635" s="13" t="s">
        <v>105</v>
      </c>
      <c r="M635" s="949" t="str">
        <f t="shared" ref="M635:M637" si="260">D635</f>
        <v/>
      </c>
      <c r="N635" s="738"/>
      <c r="O635" s="738"/>
      <c r="P635" s="738"/>
      <c r="Q635" s="738"/>
      <c r="T635" s="13" t="s">
        <v>74</v>
      </c>
      <c r="U635" s="13" t="s">
        <v>105</v>
      </c>
      <c r="V635" s="949" t="str">
        <f t="shared" ref="V635:V637" si="261">D635</f>
        <v/>
      </c>
      <c r="W635" s="738"/>
      <c r="X635" s="738"/>
      <c r="Y635" s="738"/>
      <c r="Z635" s="738"/>
      <c r="AA635" s="738"/>
      <c r="AB635" s="738"/>
      <c r="AC635" s="183"/>
      <c r="AD635" s="183"/>
      <c r="AK635" s="183"/>
      <c r="AL635" s="183"/>
      <c r="AM635" s="183"/>
      <c r="AN635" s="183"/>
    </row>
    <row r="636" spans="1:40" x14ac:dyDescent="0.25">
      <c r="B636" s="13" t="s">
        <v>100</v>
      </c>
      <c r="C636" s="13" t="s">
        <v>106</v>
      </c>
      <c r="D636" s="715" t="str">
        <f t="shared" si="259"/>
        <v/>
      </c>
      <c r="E636" s="716"/>
      <c r="F636" s="716"/>
      <c r="G636" s="716"/>
      <c r="H636" s="717"/>
      <c r="K636" s="13" t="s">
        <v>100</v>
      </c>
      <c r="L636" s="13" t="s">
        <v>106</v>
      </c>
      <c r="M636" s="941" t="str">
        <f t="shared" si="260"/>
        <v/>
      </c>
      <c r="N636" s="942"/>
      <c r="O636" s="942"/>
      <c r="P636" s="942"/>
      <c r="Q636" s="943"/>
      <c r="T636" s="13" t="s">
        <v>100</v>
      </c>
      <c r="U636" s="13" t="s">
        <v>106</v>
      </c>
      <c r="V636" s="941" t="str">
        <f t="shared" si="261"/>
        <v/>
      </c>
      <c r="W636" s="942"/>
      <c r="X636" s="942"/>
      <c r="Y636" s="942"/>
      <c r="Z636" s="942"/>
      <c r="AA636" s="942"/>
      <c r="AB636" s="943"/>
      <c r="AC636" s="183"/>
      <c r="AD636" s="183"/>
      <c r="AK636" s="183"/>
      <c r="AL636" s="183"/>
      <c r="AM636" s="183"/>
      <c r="AN636" s="183"/>
    </row>
    <row r="637" spans="1:40" x14ac:dyDescent="0.25">
      <c r="B637" s="13" t="s">
        <v>101</v>
      </c>
      <c r="C637" s="13" t="s">
        <v>107</v>
      </c>
      <c r="D637" s="715" t="str">
        <f t="shared" si="259"/>
        <v xml:space="preserve">Město Kraslice, IČ </v>
      </c>
      <c r="E637" s="716"/>
      <c r="F637" s="716"/>
      <c r="G637" s="716"/>
      <c r="H637" s="717"/>
      <c r="K637" s="13" t="s">
        <v>101</v>
      </c>
      <c r="L637" s="13" t="s">
        <v>107</v>
      </c>
      <c r="M637" s="941" t="str">
        <f t="shared" si="260"/>
        <v xml:space="preserve">Město Kraslice, IČ </v>
      </c>
      <c r="N637" s="942"/>
      <c r="O637" s="942"/>
      <c r="P637" s="942"/>
      <c r="Q637" s="943"/>
      <c r="T637" s="13" t="s">
        <v>101</v>
      </c>
      <c r="U637" s="13" t="s">
        <v>107</v>
      </c>
      <c r="V637" s="941" t="str">
        <f t="shared" si="261"/>
        <v xml:space="preserve">Město Kraslice, IČ </v>
      </c>
      <c r="W637" s="942"/>
      <c r="X637" s="942"/>
      <c r="Y637" s="942"/>
      <c r="Z637" s="942"/>
      <c r="AA637" s="942"/>
      <c r="AB637" s="943"/>
      <c r="AC637" s="183"/>
      <c r="AD637" s="183"/>
      <c r="AK637" s="183"/>
      <c r="AL637" s="183"/>
      <c r="AM637" s="183"/>
      <c r="AN637" s="183"/>
    </row>
    <row r="638" spans="1:40" x14ac:dyDescent="0.25">
      <c r="B638" s="13" t="s">
        <v>102</v>
      </c>
      <c r="C638" s="13" t="s">
        <v>109</v>
      </c>
      <c r="D638" s="923" t="str">
        <f t="shared" si="259"/>
        <v>[vyplnit]</v>
      </c>
      <c r="E638" s="924"/>
      <c r="F638" s="924"/>
      <c r="G638" s="924"/>
      <c r="H638" s="925"/>
      <c r="K638" s="13" t="s">
        <v>102</v>
      </c>
      <c r="L638" s="13" t="s">
        <v>109</v>
      </c>
      <c r="M638" s="926" t="str">
        <f>IF($D638="[vyplnit]"," ",$D638)</f>
        <v xml:space="preserve"> </v>
      </c>
      <c r="N638" s="927"/>
      <c r="O638" s="927"/>
      <c r="P638" s="927"/>
      <c r="Q638" s="928"/>
      <c r="T638" s="13" t="s">
        <v>102</v>
      </c>
      <c r="U638" s="13" t="s">
        <v>109</v>
      </c>
      <c r="V638" s="933" t="str">
        <f>IF($D638="[vyplnit]"," ",$D638)</f>
        <v xml:space="preserve"> </v>
      </c>
      <c r="W638" s="933"/>
      <c r="X638" s="933"/>
      <c r="Y638" s="933"/>
      <c r="Z638" s="933"/>
      <c r="AA638" s="933"/>
      <c r="AB638" s="933"/>
      <c r="AC638" s="183"/>
      <c r="AD638" s="183"/>
      <c r="AK638" s="183"/>
      <c r="AL638" s="183"/>
      <c r="AM638" s="183"/>
      <c r="AN638" s="183"/>
    </row>
    <row r="639" spans="1:40" x14ac:dyDescent="0.25">
      <c r="B639" s="13" t="s">
        <v>103</v>
      </c>
      <c r="C639" s="13" t="s">
        <v>108</v>
      </c>
      <c r="D639" s="923" t="str">
        <f t="shared" si="259"/>
        <v>[vyplnit]</v>
      </c>
      <c r="E639" s="924"/>
      <c r="F639" s="924"/>
      <c r="G639" s="924"/>
      <c r="H639" s="925"/>
      <c r="K639" s="13" t="s">
        <v>103</v>
      </c>
      <c r="L639" s="13" t="s">
        <v>108</v>
      </c>
      <c r="M639" s="926" t="str">
        <f t="shared" ref="M639:M640" si="262">IF($D639="[vyplnit]"," ",$D639)</f>
        <v xml:space="preserve"> </v>
      </c>
      <c r="N639" s="927"/>
      <c r="O639" s="927"/>
      <c r="P639" s="927"/>
      <c r="Q639" s="928"/>
      <c r="T639" s="13" t="s">
        <v>103</v>
      </c>
      <c r="U639" s="13" t="s">
        <v>108</v>
      </c>
      <c r="V639" s="933" t="str">
        <f t="shared" ref="V639:V640" si="263">IF($D639="[vyplnit]"," ",$D639)</f>
        <v xml:space="preserve"> </v>
      </c>
      <c r="W639" s="933"/>
      <c r="X639" s="933"/>
      <c r="Y639" s="933"/>
      <c r="Z639" s="933"/>
      <c r="AA639" s="933"/>
      <c r="AB639" s="933"/>
      <c r="AC639" s="183"/>
      <c r="AD639" s="183"/>
      <c r="AK639" s="183"/>
      <c r="AL639" s="183"/>
      <c r="AM639" s="183"/>
      <c r="AN639" s="183"/>
    </row>
    <row r="640" spans="1:40" x14ac:dyDescent="0.25">
      <c r="B640" s="13" t="s">
        <v>104</v>
      </c>
      <c r="C640" s="13" t="s">
        <v>110</v>
      </c>
      <c r="D640" s="923" t="str">
        <f t="shared" si="259"/>
        <v>[vyplnit]</v>
      </c>
      <c r="E640" s="924"/>
      <c r="F640" s="924"/>
      <c r="G640" s="924"/>
      <c r="H640" s="925"/>
      <c r="K640" s="13" t="s">
        <v>104</v>
      </c>
      <c r="L640" s="13" t="s">
        <v>110</v>
      </c>
      <c r="M640" s="926" t="str">
        <f t="shared" si="262"/>
        <v xml:space="preserve"> </v>
      </c>
      <c r="N640" s="927"/>
      <c r="O640" s="927"/>
      <c r="P640" s="927"/>
      <c r="Q640" s="928"/>
      <c r="T640" s="13" t="s">
        <v>104</v>
      </c>
      <c r="U640" s="13" t="s">
        <v>110</v>
      </c>
      <c r="V640" s="933" t="str">
        <f t="shared" si="263"/>
        <v xml:space="preserve"> </v>
      </c>
      <c r="W640" s="933"/>
      <c r="X640" s="933"/>
      <c r="Y640" s="933"/>
      <c r="Z640" s="933"/>
      <c r="AA640" s="933"/>
      <c r="AB640" s="933"/>
      <c r="AC640" s="183"/>
      <c r="AD640" s="183"/>
      <c r="AK640" s="183"/>
      <c r="AL640" s="183"/>
      <c r="AM640" s="183"/>
      <c r="AN640" s="183"/>
    </row>
    <row r="641" spans="2:40" x14ac:dyDescent="0.25">
      <c r="AC641" s="183"/>
      <c r="AK641" s="183"/>
      <c r="AL641" s="183"/>
      <c r="AM641" s="183"/>
      <c r="AN641" s="183"/>
    </row>
    <row r="642" spans="2:40" x14ac:dyDescent="0.25">
      <c r="B642" s="932" t="s">
        <v>5</v>
      </c>
      <c r="C642" s="721" t="s">
        <v>0</v>
      </c>
      <c r="D642" s="722"/>
      <c r="E642" s="722"/>
      <c r="F642" s="722"/>
      <c r="G642" s="722"/>
      <c r="H642" s="725"/>
      <c r="K642" s="932" t="s">
        <v>5</v>
      </c>
      <c r="L642" s="721" t="s">
        <v>0</v>
      </c>
      <c r="M642" s="722"/>
      <c r="N642" s="722"/>
      <c r="O642" s="722"/>
      <c r="P642" s="722"/>
      <c r="Q642" s="725"/>
      <c r="T642" s="932" t="s">
        <v>5</v>
      </c>
      <c r="U642" s="721" t="s">
        <v>0</v>
      </c>
      <c r="V642" s="722"/>
      <c r="W642" s="722"/>
      <c r="X642" s="722"/>
      <c r="Y642" s="722"/>
      <c r="Z642" s="722"/>
      <c r="AA642" s="722"/>
      <c r="AB642" s="725"/>
      <c r="AC642" s="183"/>
      <c r="AK642" s="183"/>
      <c r="AL642" s="183"/>
      <c r="AM642" s="183"/>
      <c r="AN642" s="183"/>
    </row>
    <row r="643" spans="2:40" x14ac:dyDescent="0.25">
      <c r="B643" s="930"/>
      <c r="C643" s="932" t="s">
        <v>1</v>
      </c>
      <c r="D643" s="929" t="s">
        <v>173</v>
      </c>
      <c r="E643" s="721" t="s">
        <v>3</v>
      </c>
      <c r="F643" s="722"/>
      <c r="G643" s="721" t="s">
        <v>4</v>
      </c>
      <c r="H643" s="725"/>
      <c r="K643" s="930"/>
      <c r="L643" s="932" t="s">
        <v>1</v>
      </c>
      <c r="M643" s="929" t="s">
        <v>173</v>
      </c>
      <c r="N643" s="721" t="s">
        <v>3</v>
      </c>
      <c r="O643" s="722"/>
      <c r="P643" s="721" t="s">
        <v>4</v>
      </c>
      <c r="Q643" s="725"/>
      <c r="T643" s="930"/>
      <c r="U643" s="932" t="s">
        <v>1</v>
      </c>
      <c r="V643" s="929" t="s">
        <v>173</v>
      </c>
      <c r="W643" s="721" t="s">
        <v>3</v>
      </c>
      <c r="X643" s="722"/>
      <c r="Y643" s="722"/>
      <c r="Z643" s="721" t="s">
        <v>4</v>
      </c>
      <c r="AA643" s="722"/>
      <c r="AB643" s="725"/>
      <c r="AC643" s="183"/>
      <c r="AK643" s="183"/>
      <c r="AL643" s="183"/>
      <c r="AM643" s="183"/>
      <c r="AN643" s="183"/>
    </row>
    <row r="644" spans="2:40" x14ac:dyDescent="0.25">
      <c r="B644" s="930"/>
      <c r="C644" s="930"/>
      <c r="D644" s="930"/>
      <c r="E644" s="30">
        <f>D634-1</f>
        <v>2028</v>
      </c>
      <c r="F644" s="30">
        <f>D634</f>
        <v>2029</v>
      </c>
      <c r="G644" s="30">
        <f>D634-1</f>
        <v>2028</v>
      </c>
      <c r="H644" s="30">
        <f>D634</f>
        <v>2029</v>
      </c>
      <c r="K644" s="930"/>
      <c r="L644" s="930"/>
      <c r="M644" s="930"/>
      <c r="N644" s="30">
        <f>M634-1</f>
        <v>2028</v>
      </c>
      <c r="O644" s="30">
        <f>M634</f>
        <v>2029</v>
      </c>
      <c r="P644" s="30">
        <f>M634-1</f>
        <v>2028</v>
      </c>
      <c r="Q644" s="30">
        <f>M634</f>
        <v>2029</v>
      </c>
      <c r="T644" s="930"/>
      <c r="U644" s="930"/>
      <c r="V644" s="930"/>
      <c r="W644" s="30">
        <f>W634</f>
        <v>2029</v>
      </c>
      <c r="X644" s="30">
        <f>W634</f>
        <v>2029</v>
      </c>
      <c r="Y644" s="30">
        <f>W634</f>
        <v>2029</v>
      </c>
      <c r="Z644" s="30">
        <f>W634</f>
        <v>2029</v>
      </c>
      <c r="AA644" s="30">
        <f>W634</f>
        <v>2029</v>
      </c>
      <c r="AB644" s="30">
        <f>W634</f>
        <v>2029</v>
      </c>
      <c r="AC644" s="183"/>
      <c r="AK644" s="183"/>
      <c r="AL644" s="183"/>
      <c r="AM644" s="183"/>
      <c r="AN644" s="183"/>
    </row>
    <row r="645" spans="2:40" x14ac:dyDescent="0.25">
      <c r="B645" s="931"/>
      <c r="C645" s="931"/>
      <c r="D645" s="931"/>
      <c r="E645" s="7" t="s">
        <v>199</v>
      </c>
      <c r="F645" s="7" t="s">
        <v>114</v>
      </c>
      <c r="G645" s="7" t="s">
        <v>199</v>
      </c>
      <c r="H645" s="19" t="s">
        <v>114</v>
      </c>
      <c r="K645" s="931"/>
      <c r="L645" s="931"/>
      <c r="M645" s="931"/>
      <c r="N645" s="7" t="s">
        <v>199</v>
      </c>
      <c r="O645" s="7" t="s">
        <v>114</v>
      </c>
      <c r="P645" s="7" t="s">
        <v>199</v>
      </c>
      <c r="Q645" s="19" t="s">
        <v>114</v>
      </c>
      <c r="T645" s="931"/>
      <c r="U645" s="931"/>
      <c r="V645" s="931"/>
      <c r="W645" s="7" t="s">
        <v>198</v>
      </c>
      <c r="X645" s="7" t="s">
        <v>114</v>
      </c>
      <c r="Y645" s="7" t="s">
        <v>197</v>
      </c>
      <c r="Z645" s="7" t="s">
        <v>198</v>
      </c>
      <c r="AA645" s="7" t="s">
        <v>114</v>
      </c>
      <c r="AB645" s="19" t="s">
        <v>197</v>
      </c>
      <c r="AC645" s="183"/>
      <c r="AK645" s="183"/>
      <c r="AL645" s="183"/>
      <c r="AM645" s="183"/>
      <c r="AN645" s="183"/>
    </row>
    <row r="646" spans="2:40" x14ac:dyDescent="0.25">
      <c r="B646" s="11">
        <v>1</v>
      </c>
      <c r="C646" s="11">
        <v>2</v>
      </c>
      <c r="D646" s="11" t="s">
        <v>111</v>
      </c>
      <c r="E646" s="11">
        <v>3</v>
      </c>
      <c r="F646" s="11">
        <v>4</v>
      </c>
      <c r="G646" s="11">
        <v>6</v>
      </c>
      <c r="H646" s="22">
        <v>7</v>
      </c>
      <c r="K646" s="11">
        <v>1</v>
      </c>
      <c r="L646" s="11">
        <v>2</v>
      </c>
      <c r="M646" s="11" t="s">
        <v>111</v>
      </c>
      <c r="N646" s="11">
        <v>3</v>
      </c>
      <c r="O646" s="11">
        <v>4</v>
      </c>
      <c r="P646" s="11">
        <v>6</v>
      </c>
      <c r="Q646" s="22">
        <v>7</v>
      </c>
      <c r="T646" s="11">
        <v>1</v>
      </c>
      <c r="U646" s="11">
        <v>2</v>
      </c>
      <c r="V646" s="11" t="s">
        <v>111</v>
      </c>
      <c r="W646" s="11">
        <v>3</v>
      </c>
      <c r="X646" s="11">
        <v>4</v>
      </c>
      <c r="Y646" s="11">
        <v>5</v>
      </c>
      <c r="Z646" s="11">
        <v>6</v>
      </c>
      <c r="AA646" s="11">
        <v>7</v>
      </c>
      <c r="AB646" s="22">
        <v>8</v>
      </c>
      <c r="AC646" s="183"/>
      <c r="AK646" s="183"/>
      <c r="AL646" s="183"/>
      <c r="AM646" s="183"/>
      <c r="AN646" s="183"/>
    </row>
    <row r="647" spans="2:40" x14ac:dyDescent="0.25">
      <c r="B647" s="9" t="s">
        <v>8</v>
      </c>
      <c r="C647" s="10" t="s">
        <v>9</v>
      </c>
      <c r="D647" s="11" t="s">
        <v>10</v>
      </c>
      <c r="E647" s="46">
        <f>SUM(E648:E651)</f>
        <v>0</v>
      </c>
      <c r="F647" s="46">
        <f>SUM(F648:F651)</f>
        <v>0</v>
      </c>
      <c r="G647" s="46">
        <f>SUM(G648:G651)</f>
        <v>0</v>
      </c>
      <c r="H647" s="98">
        <f>SUM(H648:H651)</f>
        <v>0</v>
      </c>
      <c r="K647" s="9" t="s">
        <v>8</v>
      </c>
      <c r="L647" s="10" t="s">
        <v>9</v>
      </c>
      <c r="M647" s="11" t="s">
        <v>10</v>
      </c>
      <c r="N647" s="46">
        <f>SUM(N648:N651)</f>
        <v>0</v>
      </c>
      <c r="O647" s="46">
        <f>SUM(O648:O651)</f>
        <v>0</v>
      </c>
      <c r="P647" s="46">
        <f>SUM(P648:P651)</f>
        <v>0</v>
      </c>
      <c r="Q647" s="98">
        <f>SUM(Q648:Q651)</f>
        <v>0</v>
      </c>
      <c r="T647" s="9" t="s">
        <v>8</v>
      </c>
      <c r="U647" s="10" t="s">
        <v>9</v>
      </c>
      <c r="V647" s="11" t="s">
        <v>10</v>
      </c>
      <c r="W647" s="98">
        <f t="shared" ref="W647:AB647" si="264">SUM(W648:W651)</f>
        <v>0</v>
      </c>
      <c r="X647" s="98">
        <f t="shared" si="264"/>
        <v>0</v>
      </c>
      <c r="Y647" s="98">
        <f t="shared" si="264"/>
        <v>0</v>
      </c>
      <c r="Z647" s="98">
        <f t="shared" si="264"/>
        <v>0</v>
      </c>
      <c r="AA647" s="98">
        <f t="shared" si="264"/>
        <v>0</v>
      </c>
      <c r="AB647" s="98">
        <f t="shared" si="264"/>
        <v>0</v>
      </c>
      <c r="AC647" s="183"/>
      <c r="AK647" s="183"/>
      <c r="AL647" s="183"/>
      <c r="AM647" s="183"/>
      <c r="AN647" s="183"/>
    </row>
    <row r="648" spans="2:40" x14ac:dyDescent="0.25">
      <c r="B648" s="12" t="s">
        <v>11</v>
      </c>
      <c r="C648" s="13" t="s">
        <v>12</v>
      </c>
      <c r="D648" s="3" t="s">
        <v>10</v>
      </c>
      <c r="E648" s="49">
        <v>0</v>
      </c>
      <c r="F648" s="49">
        <f>IF(YEAR(Postup!$H$25)&gt;$D$634,Provozování!BC23,IF(AND(DAY(Postup!$H$25)=31,MONTH(Postup!$H$25)=12,YEAR(Postup!$H$25)=$D$634),Provozování!BC23,IF(YEAR(Postup!$H$25)=$D$634,Provozování!$BL23,0)))</f>
        <v>0</v>
      </c>
      <c r="G648" s="49">
        <v>0</v>
      </c>
      <c r="H648" s="442">
        <v>0</v>
      </c>
      <c r="K648" s="12" t="s">
        <v>11</v>
      </c>
      <c r="L648" s="13" t="s">
        <v>12</v>
      </c>
      <c r="M648" s="3" t="s">
        <v>10</v>
      </c>
      <c r="N648" s="49">
        <v>0</v>
      </c>
      <c r="O648" s="49">
        <f>IF(Provozování!$BE$16="Neaktivní",0,Provozování!BE23)</f>
        <v>0</v>
      </c>
      <c r="P648" s="49">
        <v>0</v>
      </c>
      <c r="Q648" s="442">
        <v>0</v>
      </c>
      <c r="T648" s="12" t="s">
        <v>11</v>
      </c>
      <c r="U648" s="13" t="s">
        <v>12</v>
      </c>
      <c r="V648" s="3" t="s">
        <v>10</v>
      </c>
      <c r="W648" s="595">
        <v>0</v>
      </c>
      <c r="X648" s="49">
        <f>IF(Provozování!$BE$16="Neaktivní",F648,F648*Výpočty!$Q$58+O648)</f>
        <v>0</v>
      </c>
      <c r="Y648" s="49">
        <f>W648-X648</f>
        <v>0</v>
      </c>
      <c r="Z648" s="445">
        <v>0</v>
      </c>
      <c r="AA648" s="445">
        <v>0</v>
      </c>
      <c r="AB648" s="442">
        <v>0</v>
      </c>
      <c r="AC648" s="183"/>
      <c r="AK648" s="183"/>
      <c r="AL648" s="183"/>
      <c r="AM648" s="183"/>
      <c r="AN648" s="183"/>
    </row>
    <row r="649" spans="2:40" x14ac:dyDescent="0.25">
      <c r="B649" s="12" t="s">
        <v>13</v>
      </c>
      <c r="C649" s="12" t="s">
        <v>14</v>
      </c>
      <c r="D649" s="3" t="s">
        <v>10</v>
      </c>
      <c r="E649" s="58">
        <v>0</v>
      </c>
      <c r="F649" s="49">
        <f>IF(YEAR(Postup!$H$25)&gt;$D$634,Provozování!BC24,IF(AND(DAY(Postup!$H$25)=31,MONTH(Postup!$H$25)=12,YEAR(Postup!$H$25)=$D$634),Provozování!BC24,IF(YEAR(Postup!$H$25)=$D$634,Provozování!$BL24,0)))</f>
        <v>0</v>
      </c>
      <c r="G649" s="58">
        <v>0</v>
      </c>
      <c r="H649" s="32">
        <f>IF(YEAR(Postup!$H$25)&gt;$D$634,Provozování!BD24,IF(AND(DAY(Postup!$H$25)=31,MONTH(Postup!$H$25)=12,YEAR(Postup!$H$25)=$D$634),Provozování!BD24,IF(YEAR(Postup!$H$25)=$D$634,Provozování!$BM24,0)))</f>
        <v>0</v>
      </c>
      <c r="K649" s="12" t="s">
        <v>13</v>
      </c>
      <c r="L649" s="12" t="s">
        <v>14</v>
      </c>
      <c r="M649" s="3" t="s">
        <v>10</v>
      </c>
      <c r="N649" s="58">
        <v>0</v>
      </c>
      <c r="O649" s="49">
        <f>IF(Provozování!$BE$16="Neaktivní",0,Provozování!BE24)</f>
        <v>0</v>
      </c>
      <c r="P649" s="58">
        <v>0</v>
      </c>
      <c r="Q649" s="59">
        <f>IF(Provozování!$BE$16="Neaktivní",0,Provozování!BF24)</f>
        <v>0</v>
      </c>
      <c r="T649" s="12" t="s">
        <v>13</v>
      </c>
      <c r="U649" s="12" t="s">
        <v>14</v>
      </c>
      <c r="V649" s="3" t="s">
        <v>10</v>
      </c>
      <c r="W649" s="596">
        <v>0</v>
      </c>
      <c r="X649" s="49">
        <f>IF(Provozování!$BE$16="Neaktivní",F649,F649*Výpočty!$Q$58+O649)</f>
        <v>0</v>
      </c>
      <c r="Y649" s="49">
        <f t="shared" ref="Y649:Y651" si="265">W649-X649</f>
        <v>0</v>
      </c>
      <c r="Z649" s="596">
        <v>0</v>
      </c>
      <c r="AA649" s="49">
        <f>IF(Provozování!$BE$16="Neaktivní",H649,H649*Výpočty!$Q$58+Q649)</f>
        <v>0</v>
      </c>
      <c r="AB649" s="32">
        <f t="shared" ref="AB649:AB651" si="266">Z649-AA649</f>
        <v>0</v>
      </c>
      <c r="AC649" s="183"/>
      <c r="AK649" s="183"/>
      <c r="AL649" s="183"/>
      <c r="AM649" s="183"/>
      <c r="AN649" s="183"/>
    </row>
    <row r="650" spans="2:40" x14ac:dyDescent="0.25">
      <c r="B650" s="12" t="s">
        <v>15</v>
      </c>
      <c r="C650" s="13" t="s">
        <v>16</v>
      </c>
      <c r="D650" s="3" t="s">
        <v>10</v>
      </c>
      <c r="E650" s="32">
        <v>0</v>
      </c>
      <c r="F650" s="590">
        <f>IF(YEAR(Postup!$H$25)&gt;$D$634,Provozování!BC25,IF(AND(DAY(Postup!$H$25)=31,MONTH(Postup!$H$25)=12,YEAR(Postup!$H$25)=$D$634),Provozování!BC25,IF(YEAR(Postup!$H$25)=$D$634,Provozování!$BL25,0)))</f>
        <v>0</v>
      </c>
      <c r="G650" s="32">
        <v>0</v>
      </c>
      <c r="H650" s="590">
        <f>IF(YEAR(Postup!$H$25)&gt;$D$634,Provozování!BD25,IF(AND(DAY(Postup!$H$25)=31,MONTH(Postup!$H$25)=12,YEAR(Postup!$H$25)=$D$634),Provozování!BD25,IF(YEAR(Postup!$H$25)=$D$634,Provozování!$BM25,0)))</f>
        <v>0</v>
      </c>
      <c r="K650" s="12" t="s">
        <v>15</v>
      </c>
      <c r="L650" s="13" t="s">
        <v>16</v>
      </c>
      <c r="M650" s="3" t="s">
        <v>10</v>
      </c>
      <c r="N650" s="32">
        <v>0</v>
      </c>
      <c r="O650" s="443">
        <f>IF(Provozování!$BE$16="Neaktivní",0,Provozování!BE25)</f>
        <v>0</v>
      </c>
      <c r="P650" s="32">
        <v>0</v>
      </c>
      <c r="Q650" s="443">
        <f>IF(Provozování!$BE$16="Neaktivní",0,Provozování!BF25)</f>
        <v>0</v>
      </c>
      <c r="T650" s="12" t="s">
        <v>15</v>
      </c>
      <c r="U650" s="13" t="s">
        <v>16</v>
      </c>
      <c r="V650" s="3" t="s">
        <v>10</v>
      </c>
      <c r="W650" s="597">
        <v>0</v>
      </c>
      <c r="X650" s="49">
        <f>IF(Provozování!$BE$16="Neaktivní",F650,F650*Výpočty!$Q$58+O650)</f>
        <v>0</v>
      </c>
      <c r="Y650" s="49">
        <f t="shared" si="265"/>
        <v>0</v>
      </c>
      <c r="Z650" s="597">
        <v>0</v>
      </c>
      <c r="AA650" s="49">
        <f>IF(Provozování!$BE$16="Neaktivní",H650,H650*Výpočty!$Q$58+Q650)</f>
        <v>0</v>
      </c>
      <c r="AB650" s="32">
        <f t="shared" si="266"/>
        <v>0</v>
      </c>
      <c r="AC650" s="183"/>
      <c r="AK650" s="183"/>
      <c r="AL650" s="183"/>
      <c r="AM650" s="183"/>
      <c r="AN650" s="183"/>
    </row>
    <row r="651" spans="2:40" x14ac:dyDescent="0.25">
      <c r="B651" s="12" t="s">
        <v>17</v>
      </c>
      <c r="C651" s="13" t="s">
        <v>18</v>
      </c>
      <c r="D651" s="3" t="s">
        <v>10</v>
      </c>
      <c r="E651" s="99">
        <v>0</v>
      </c>
      <c r="F651" s="590">
        <f>IF(YEAR(Postup!$H$25)&gt;$D$634,Provozování!BC26,IF(AND(DAY(Postup!$H$25)=31,MONTH(Postup!$H$25)=12,YEAR(Postup!$H$25)=$D$634),Provozování!BC26,IF(YEAR(Postup!$H$25)=$D$634,Provozování!$BL26,0)))</f>
        <v>0</v>
      </c>
      <c r="G651" s="99">
        <v>0</v>
      </c>
      <c r="H651" s="590">
        <f>IF(YEAR(Postup!$H$25)&gt;$D$634,Provozování!BD26,IF(AND(DAY(Postup!$H$25)=31,MONTH(Postup!$H$25)=12,YEAR(Postup!$H$25)=$D$634),Provozování!BD26,IF(YEAR(Postup!$H$25)=$D$634,Provozování!$BM26,0)))</f>
        <v>0</v>
      </c>
      <c r="K651" s="12" t="s">
        <v>17</v>
      </c>
      <c r="L651" s="13" t="s">
        <v>18</v>
      </c>
      <c r="M651" s="3" t="s">
        <v>10</v>
      </c>
      <c r="N651" s="99">
        <v>0</v>
      </c>
      <c r="O651" s="443">
        <f>IF(Provozování!$BE$16="Neaktivní",0,Provozování!BE26)</f>
        <v>0</v>
      </c>
      <c r="P651" s="99">
        <v>0</v>
      </c>
      <c r="Q651" s="443">
        <f>IF(Provozování!$BE$16="Neaktivní",0,Provozování!BF26)</f>
        <v>0</v>
      </c>
      <c r="T651" s="12" t="s">
        <v>17</v>
      </c>
      <c r="U651" s="13" t="s">
        <v>18</v>
      </c>
      <c r="V651" s="3" t="s">
        <v>10</v>
      </c>
      <c r="W651" s="598">
        <v>0</v>
      </c>
      <c r="X651" s="49">
        <f>IF(Provozování!$BE$16="Neaktivní",F651,F651*Výpočty!$Q$58+O651)</f>
        <v>0</v>
      </c>
      <c r="Y651" s="49">
        <f t="shared" si="265"/>
        <v>0</v>
      </c>
      <c r="Z651" s="598">
        <v>0</v>
      </c>
      <c r="AA651" s="49">
        <f>IF(Provozování!$BE$16="Neaktivní",H651,H651*Výpočty!$Q$58+Q651)</f>
        <v>0</v>
      </c>
      <c r="AB651" s="32">
        <f t="shared" si="266"/>
        <v>0</v>
      </c>
      <c r="AC651" s="183"/>
      <c r="AK651" s="183"/>
      <c r="AL651" s="183"/>
      <c r="AM651" s="183"/>
      <c r="AN651" s="183"/>
    </row>
    <row r="652" spans="2:40" x14ac:dyDescent="0.25">
      <c r="B652" s="9" t="s">
        <v>19</v>
      </c>
      <c r="C652" s="10" t="s">
        <v>20</v>
      </c>
      <c r="D652" s="11" t="s">
        <v>10</v>
      </c>
      <c r="E652" s="100">
        <f>SUM(E653:E654)</f>
        <v>0</v>
      </c>
      <c r="F652" s="100">
        <f>SUM(F653:F654)</f>
        <v>0</v>
      </c>
      <c r="G652" s="100">
        <f>SUM(G653:G654)</f>
        <v>0</v>
      </c>
      <c r="H652" s="98">
        <f>SUM(H653:H654)</f>
        <v>0</v>
      </c>
      <c r="K652" s="9" t="s">
        <v>19</v>
      </c>
      <c r="L652" s="10" t="s">
        <v>20</v>
      </c>
      <c r="M652" s="11" t="s">
        <v>10</v>
      </c>
      <c r="N652" s="100">
        <f>SUM(N653:N654)</f>
        <v>0</v>
      </c>
      <c r="O652" s="100">
        <f>SUM(O653:O654)</f>
        <v>0</v>
      </c>
      <c r="P652" s="100">
        <f>SUM(P653:P654)</f>
        <v>0</v>
      </c>
      <c r="Q652" s="98">
        <f>SUM(Q653:Q654)</f>
        <v>0</v>
      </c>
      <c r="T652" s="9" t="s">
        <v>19</v>
      </c>
      <c r="U652" s="10" t="s">
        <v>20</v>
      </c>
      <c r="V652" s="11" t="s">
        <v>10</v>
      </c>
      <c r="W652" s="98">
        <f t="shared" ref="W652:AB652" si="267">SUM(W653:W654)</f>
        <v>0</v>
      </c>
      <c r="X652" s="98">
        <f t="shared" si="267"/>
        <v>0</v>
      </c>
      <c r="Y652" s="98">
        <f t="shared" si="267"/>
        <v>0</v>
      </c>
      <c r="Z652" s="98">
        <f t="shared" si="267"/>
        <v>0</v>
      </c>
      <c r="AA652" s="98">
        <f t="shared" si="267"/>
        <v>0</v>
      </c>
      <c r="AB652" s="98">
        <f t="shared" si="267"/>
        <v>0</v>
      </c>
      <c r="AC652" s="183"/>
      <c r="AK652" s="183"/>
      <c r="AL652" s="183"/>
      <c r="AM652" s="183"/>
      <c r="AN652" s="183"/>
    </row>
    <row r="653" spans="2:40" x14ac:dyDescent="0.25">
      <c r="B653" s="12" t="s">
        <v>21</v>
      </c>
      <c r="C653" s="12" t="s">
        <v>22</v>
      </c>
      <c r="D653" s="3" t="s">
        <v>10</v>
      </c>
      <c r="E653" s="32">
        <v>0</v>
      </c>
      <c r="F653" s="590">
        <f>IF(YEAR(Postup!$H$25)&gt;$D$634,Provozování!BC28,IF(AND(DAY(Postup!$H$25)=31,MONTH(Postup!$H$25)=12,YEAR(Postup!$H$25)=$D$634),Provozování!BC28,IF(YEAR(Postup!$H$25)=$D$634,Provozování!$BL28,0)))</f>
        <v>0</v>
      </c>
      <c r="G653" s="32">
        <v>0</v>
      </c>
      <c r="H653" s="590">
        <f>IF(YEAR(Postup!$H$25)&gt;$D$634,Provozování!BD28,IF(AND(DAY(Postup!$H$25)=31,MONTH(Postup!$H$25)=12,YEAR(Postup!$H$25)=$D$634),Provozování!BD28,IF(YEAR(Postup!$H$25)=$D$634,Provozování!$BM28,0)))</f>
        <v>0</v>
      </c>
      <c r="K653" s="12" t="s">
        <v>21</v>
      </c>
      <c r="L653" s="12" t="s">
        <v>22</v>
      </c>
      <c r="M653" s="3" t="s">
        <v>10</v>
      </c>
      <c r="N653" s="32">
        <v>0</v>
      </c>
      <c r="O653" s="443">
        <f>IF(Provozování!$BE$16="Neaktivní",0,Provozování!BE28)</f>
        <v>0</v>
      </c>
      <c r="P653" s="32">
        <v>0</v>
      </c>
      <c r="Q653" s="443">
        <f>IF(Provozování!$BE$16="Neaktivní",0,Provozování!BF28)</f>
        <v>0</v>
      </c>
      <c r="T653" s="12" t="s">
        <v>21</v>
      </c>
      <c r="U653" s="12" t="s">
        <v>22</v>
      </c>
      <c r="V653" s="3" t="s">
        <v>10</v>
      </c>
      <c r="W653" s="595">
        <v>0</v>
      </c>
      <c r="X653" s="49">
        <f>IF(Provozování!$BE$16="Neaktivní",F653,F653*Výpočty!$Q$58+O653)</f>
        <v>0</v>
      </c>
      <c r="Y653" s="49">
        <f t="shared" ref="Y653:Y654" si="268">W653-X653</f>
        <v>0</v>
      </c>
      <c r="Z653" s="597">
        <v>0</v>
      </c>
      <c r="AA653" s="49">
        <f>IF(Provozování!$BE$16="Neaktivní",H653,H653*Výpočty!$Q$58+Q653)</f>
        <v>0</v>
      </c>
      <c r="AB653" s="32">
        <f t="shared" ref="AB653:AB654" si="269">Z653-AA653</f>
        <v>0</v>
      </c>
      <c r="AC653" s="183"/>
      <c r="AK653" s="183"/>
      <c r="AL653" s="183"/>
      <c r="AM653" s="183"/>
      <c r="AN653" s="183"/>
    </row>
    <row r="654" spans="2:40" x14ac:dyDescent="0.25">
      <c r="B654" s="12" t="s">
        <v>23</v>
      </c>
      <c r="C654" s="12" t="s">
        <v>24</v>
      </c>
      <c r="D654" s="3" t="s">
        <v>10</v>
      </c>
      <c r="E654" s="99">
        <v>0</v>
      </c>
      <c r="F654" s="590">
        <f>IF(YEAR(Postup!$H$25)&gt;$D$634,Provozování!BC29,IF(AND(DAY(Postup!$H$25)=31,MONTH(Postup!$H$25)=12,YEAR(Postup!$H$25)=$D$634),Provozování!BC29,IF(YEAR(Postup!$H$25)=$D$634,Provozování!$BL29,0)))</f>
        <v>0</v>
      </c>
      <c r="G654" s="99">
        <v>0</v>
      </c>
      <c r="H654" s="590">
        <f>IF(YEAR(Postup!$H$25)&gt;$D$634,Provozování!BD29,IF(AND(DAY(Postup!$H$25)=31,MONTH(Postup!$H$25)=12,YEAR(Postup!$H$25)=$D$634),Provozování!BD29,IF(YEAR(Postup!$H$25)=$D$634,Provozování!$BM29,0)))</f>
        <v>0</v>
      </c>
      <c r="K654" s="12" t="s">
        <v>23</v>
      </c>
      <c r="L654" s="12" t="s">
        <v>24</v>
      </c>
      <c r="M654" s="3" t="s">
        <v>10</v>
      </c>
      <c r="N654" s="99">
        <v>0</v>
      </c>
      <c r="O654" s="443">
        <f>IF(Provozování!$BE$16="Neaktivní",0,Provozování!BE29)</f>
        <v>0</v>
      </c>
      <c r="P654" s="99">
        <v>0</v>
      </c>
      <c r="Q654" s="443">
        <f>IF(Provozování!$BE$16="Neaktivní",0,Provozování!BF29)</f>
        <v>0</v>
      </c>
      <c r="T654" s="12" t="s">
        <v>23</v>
      </c>
      <c r="U654" s="12" t="s">
        <v>24</v>
      </c>
      <c r="V654" s="3" t="s">
        <v>10</v>
      </c>
      <c r="W654" s="596">
        <v>0</v>
      </c>
      <c r="X654" s="49">
        <f>IF(Provozování!$BE$16="Neaktivní",F654,F654*Výpočty!$Q$58+O654)</f>
        <v>0</v>
      </c>
      <c r="Y654" s="49">
        <f t="shared" si="268"/>
        <v>0</v>
      </c>
      <c r="Z654" s="598">
        <v>0</v>
      </c>
      <c r="AA654" s="49">
        <f>IF(Provozování!$BE$16="Neaktivní",H654,H654*Výpočty!$Q$58+Q654)</f>
        <v>0</v>
      </c>
      <c r="AB654" s="32">
        <f t="shared" si="269"/>
        <v>0</v>
      </c>
      <c r="AC654" s="183"/>
      <c r="AK654" s="183"/>
      <c r="AL654" s="183"/>
      <c r="AM654" s="183"/>
      <c r="AN654" s="183"/>
    </row>
    <row r="655" spans="2:40" x14ac:dyDescent="0.25">
      <c r="B655" s="9" t="s">
        <v>25</v>
      </c>
      <c r="C655" s="10" t="s">
        <v>26</v>
      </c>
      <c r="D655" s="11" t="s">
        <v>10</v>
      </c>
      <c r="E655" s="46">
        <f>SUM(E656:E657)</f>
        <v>0</v>
      </c>
      <c r="F655" s="46">
        <f>SUM(F656:F657)</f>
        <v>0</v>
      </c>
      <c r="G655" s="46">
        <f>SUM(G656:G657)</f>
        <v>0</v>
      </c>
      <c r="H655" s="98">
        <f>SUM(H656:H657)</f>
        <v>0</v>
      </c>
      <c r="K655" s="9" t="s">
        <v>25</v>
      </c>
      <c r="L655" s="10" t="s">
        <v>26</v>
      </c>
      <c r="M655" s="11" t="s">
        <v>10</v>
      </c>
      <c r="N655" s="46">
        <f>SUM(N656:N657)</f>
        <v>0</v>
      </c>
      <c r="O655" s="46">
        <f>SUM(O656:O657)</f>
        <v>0</v>
      </c>
      <c r="P655" s="46">
        <f>SUM(P656:P657)</f>
        <v>0</v>
      </c>
      <c r="Q655" s="98">
        <f>SUM(Q656:Q657)</f>
        <v>0</v>
      </c>
      <c r="T655" s="9" t="s">
        <v>25</v>
      </c>
      <c r="U655" s="10" t="s">
        <v>26</v>
      </c>
      <c r="V655" s="11" t="s">
        <v>10</v>
      </c>
      <c r="W655" s="98">
        <f t="shared" ref="W655:AB655" si="270">SUM(W656:W657)</f>
        <v>0</v>
      </c>
      <c r="X655" s="98">
        <f t="shared" si="270"/>
        <v>0</v>
      </c>
      <c r="Y655" s="98">
        <f t="shared" si="270"/>
        <v>0</v>
      </c>
      <c r="Z655" s="98">
        <f t="shared" si="270"/>
        <v>0</v>
      </c>
      <c r="AA655" s="98">
        <f t="shared" si="270"/>
        <v>0</v>
      </c>
      <c r="AB655" s="98">
        <f t="shared" si="270"/>
        <v>0</v>
      </c>
      <c r="AC655" s="183"/>
      <c r="AD655" s="183"/>
      <c r="AK655" s="183"/>
      <c r="AL655" s="183"/>
      <c r="AM655" s="183"/>
      <c r="AN655" s="183"/>
    </row>
    <row r="656" spans="2:40" x14ac:dyDescent="0.25">
      <c r="B656" s="12" t="s">
        <v>27</v>
      </c>
      <c r="C656" s="13" t="s">
        <v>28</v>
      </c>
      <c r="D656" s="3" t="s">
        <v>10</v>
      </c>
      <c r="E656" s="49">
        <v>0</v>
      </c>
      <c r="F656" s="590">
        <f>IF(YEAR(Postup!$H$25)&gt;$D$634,Provozování!BC31,IF(AND(DAY(Postup!$H$25)=31,MONTH(Postup!$H$25)=12,YEAR(Postup!$H$25)=$D$634),Provozování!BC31,IF(YEAR(Postup!$H$25)=$D$634,Provozování!$BL31,0)))</f>
        <v>0</v>
      </c>
      <c r="G656" s="49">
        <v>0</v>
      </c>
      <c r="H656" s="590">
        <f>IF(YEAR(Postup!$H$25)&gt;$D$634,Provozování!BD31,IF(AND(DAY(Postup!$H$25)=31,MONTH(Postup!$H$25)=12,YEAR(Postup!$H$25)=$D$634),Provozování!BD31,IF(YEAR(Postup!$H$25)=$D$634,Provozování!$BM31,0)))</f>
        <v>0</v>
      </c>
      <c r="K656" s="12" t="s">
        <v>27</v>
      </c>
      <c r="L656" s="13" t="s">
        <v>28</v>
      </c>
      <c r="M656" s="3" t="s">
        <v>10</v>
      </c>
      <c r="N656" s="49">
        <v>0</v>
      </c>
      <c r="O656" s="443">
        <f>IF(Provozování!$BE$16="Neaktivní",0,Provozování!BE31)</f>
        <v>0</v>
      </c>
      <c r="P656" s="49">
        <v>0</v>
      </c>
      <c r="Q656" s="443">
        <f>IF(Provozování!$BE$16="Neaktivní",0,Provozování!BF31)</f>
        <v>0</v>
      </c>
      <c r="T656" s="12" t="s">
        <v>27</v>
      </c>
      <c r="U656" s="13" t="s">
        <v>28</v>
      </c>
      <c r="V656" s="3" t="s">
        <v>10</v>
      </c>
      <c r="W656" s="595">
        <v>0</v>
      </c>
      <c r="X656" s="49">
        <f>IF(Provozování!$BE$16="Neaktivní",F656,F656*Výpočty!$Q$58+O656)</f>
        <v>0</v>
      </c>
      <c r="Y656" s="49">
        <f t="shared" ref="Y656:Y657" si="271">W656-X656</f>
        <v>0</v>
      </c>
      <c r="Z656" s="595">
        <v>0</v>
      </c>
      <c r="AA656" s="49">
        <f>IF(Provozování!$BE$16="Neaktivní",H656,H656*Výpočty!$Q$58+Q656)</f>
        <v>0</v>
      </c>
      <c r="AB656" s="32">
        <f t="shared" ref="AB656:AB657" si="272">Z656-AA656</f>
        <v>0</v>
      </c>
      <c r="AC656" s="183"/>
      <c r="AD656" s="183"/>
      <c r="AK656" s="183"/>
      <c r="AL656" s="183"/>
      <c r="AM656" s="183"/>
      <c r="AN656" s="183"/>
    </row>
    <row r="657" spans="2:40" x14ac:dyDescent="0.25">
      <c r="B657" s="12" t="s">
        <v>29</v>
      </c>
      <c r="C657" s="13" t="s">
        <v>30</v>
      </c>
      <c r="D657" s="3" t="s">
        <v>10</v>
      </c>
      <c r="E657" s="49">
        <v>0</v>
      </c>
      <c r="F657" s="590">
        <f>IF(YEAR(Postup!$H$25)&gt;$D$634,Provozování!BC32,IF(AND(DAY(Postup!$H$25)=31,MONTH(Postup!$H$25)=12,YEAR(Postup!$H$25)=$D$634),Provozování!BC32,IF(YEAR(Postup!$H$25)=$D$634,Provozování!$BL32,0)))</f>
        <v>0</v>
      </c>
      <c r="G657" s="49">
        <v>0</v>
      </c>
      <c r="H657" s="590">
        <f>IF(YEAR(Postup!$H$25)&gt;$D$634,Provozování!BD32,IF(AND(DAY(Postup!$H$25)=31,MONTH(Postup!$H$25)=12,YEAR(Postup!$H$25)=$D$634),Provozování!BD32,IF(YEAR(Postup!$H$25)=$D$634,Provozování!$BM32,0)))</f>
        <v>0</v>
      </c>
      <c r="K657" s="12" t="s">
        <v>29</v>
      </c>
      <c r="L657" s="13" t="s">
        <v>30</v>
      </c>
      <c r="M657" s="3" t="s">
        <v>10</v>
      </c>
      <c r="N657" s="49">
        <v>0</v>
      </c>
      <c r="O657" s="443">
        <f>IF(Provozování!$BE$16="Neaktivní",0,Provozování!BE32)</f>
        <v>0</v>
      </c>
      <c r="P657" s="49">
        <v>0</v>
      </c>
      <c r="Q657" s="443">
        <f>IF(Provozování!$BE$16="Neaktivní",0,Provozování!BF32)</f>
        <v>0</v>
      </c>
      <c r="T657" s="12" t="s">
        <v>29</v>
      </c>
      <c r="U657" s="13" t="s">
        <v>30</v>
      </c>
      <c r="V657" s="3" t="s">
        <v>10</v>
      </c>
      <c r="W657" s="595">
        <v>0</v>
      </c>
      <c r="X657" s="49">
        <f>IF(Provozování!$BE$16="Neaktivní",F657,F657*Výpočty!$Q$58+O657)</f>
        <v>0</v>
      </c>
      <c r="Y657" s="49">
        <f t="shared" si="271"/>
        <v>0</v>
      </c>
      <c r="Z657" s="595">
        <v>0</v>
      </c>
      <c r="AA657" s="49">
        <f>IF(Provozování!$BE$16="Neaktivní",H657,H657*Výpočty!$Q$58+Q657)</f>
        <v>0</v>
      </c>
      <c r="AB657" s="32">
        <f t="shared" si="272"/>
        <v>0</v>
      </c>
      <c r="AC657" s="183"/>
      <c r="AD657" s="183"/>
      <c r="AK657" s="183"/>
      <c r="AL657" s="183"/>
      <c r="AM657" s="183"/>
      <c r="AN657" s="183"/>
    </row>
    <row r="658" spans="2:40" x14ac:dyDescent="0.25">
      <c r="B658" s="9" t="s">
        <v>31</v>
      </c>
      <c r="C658" s="10" t="s">
        <v>32</v>
      </c>
      <c r="D658" s="11" t="s">
        <v>10</v>
      </c>
      <c r="E658" s="46">
        <f>SUM(E659:E662)</f>
        <v>0</v>
      </c>
      <c r="F658" s="46">
        <f>SUM(F659:F662)</f>
        <v>0</v>
      </c>
      <c r="G658" s="46">
        <f>SUM(G659:G662)</f>
        <v>0</v>
      </c>
      <c r="H658" s="98">
        <f>SUM(H659:H662)</f>
        <v>0</v>
      </c>
      <c r="K658" s="9" t="s">
        <v>31</v>
      </c>
      <c r="L658" s="10" t="s">
        <v>32</v>
      </c>
      <c r="M658" s="11" t="s">
        <v>10</v>
      </c>
      <c r="N658" s="46">
        <f>SUM(N659:N662)</f>
        <v>0</v>
      </c>
      <c r="O658" s="46">
        <f>SUM(O659:O662)</f>
        <v>0</v>
      </c>
      <c r="P658" s="46">
        <f>SUM(P659:P662)</f>
        <v>0</v>
      </c>
      <c r="Q658" s="98">
        <f>SUM(Q659:Q662)</f>
        <v>0</v>
      </c>
      <c r="T658" s="9" t="s">
        <v>31</v>
      </c>
      <c r="U658" s="10" t="s">
        <v>32</v>
      </c>
      <c r="V658" s="11" t="s">
        <v>10</v>
      </c>
      <c r="W658" s="98">
        <f t="shared" ref="W658:AB658" si="273">SUM(W659:W662)</f>
        <v>0</v>
      </c>
      <c r="X658" s="98">
        <f t="shared" si="273"/>
        <v>0</v>
      </c>
      <c r="Y658" s="98">
        <f t="shared" si="273"/>
        <v>0</v>
      </c>
      <c r="Z658" s="98">
        <f t="shared" si="273"/>
        <v>0</v>
      </c>
      <c r="AA658" s="98">
        <f t="shared" si="273"/>
        <v>0</v>
      </c>
      <c r="AB658" s="98">
        <f t="shared" si="273"/>
        <v>0</v>
      </c>
      <c r="AC658" s="183"/>
      <c r="AD658" s="183"/>
      <c r="AK658" s="183"/>
      <c r="AL658" s="183"/>
      <c r="AM658" s="183"/>
      <c r="AN658" s="183"/>
    </row>
    <row r="659" spans="2:40" x14ac:dyDescent="0.25">
      <c r="B659" s="12" t="s">
        <v>33</v>
      </c>
      <c r="C659" s="21" t="s">
        <v>34</v>
      </c>
      <c r="D659" s="3" t="s">
        <v>10</v>
      </c>
      <c r="E659" s="49">
        <v>0</v>
      </c>
      <c r="F659" s="49">
        <f>IF(YEAR(Postup!$H$25)&gt;$D$634,Provozování!BC34,IF(AND(DAY(Postup!$H$25)=31,MONTH(Postup!$H$25)=12,YEAR(Postup!$H$25)=$D$634),Provozování!BC34,IF(YEAR(Postup!$H$25)=$D$634,Provozování!$BL34,0)))</f>
        <v>0</v>
      </c>
      <c r="G659" s="49">
        <v>0</v>
      </c>
      <c r="H659" s="32">
        <f>IF(YEAR(Postup!$H$25)&gt;$D$634,Provozování!BD34,IF(AND(DAY(Postup!$H$25)=31,MONTH(Postup!$H$25)=12,YEAR(Postup!$H$25)=$D$634),Provozování!BD34,IF(YEAR(Postup!$H$25)=$D$634,Provozování!$BM34,0)))</f>
        <v>0</v>
      </c>
      <c r="K659" s="12" t="s">
        <v>33</v>
      </c>
      <c r="L659" s="21" t="s">
        <v>34</v>
      </c>
      <c r="M659" s="3" t="s">
        <v>10</v>
      </c>
      <c r="N659" s="49">
        <v>0</v>
      </c>
      <c r="O659" s="49">
        <f>IF(Provozování!$BE$16="Neaktivní",0,Provozování!BE34)</f>
        <v>0</v>
      </c>
      <c r="P659" s="49">
        <v>0</v>
      </c>
      <c r="Q659" s="59">
        <f>IF(Provozování!$BE$16="Neaktivní",0,Provozování!BF34)</f>
        <v>0</v>
      </c>
      <c r="T659" s="12" t="s">
        <v>33</v>
      </c>
      <c r="U659" s="21" t="s">
        <v>34</v>
      </c>
      <c r="V659" s="3" t="s">
        <v>10</v>
      </c>
      <c r="W659" s="595">
        <v>0</v>
      </c>
      <c r="X659" s="49">
        <f>IF(Provozování!$BE$16="Neaktivní",F659,F659*Výpočty!$Q$58+O659)</f>
        <v>0</v>
      </c>
      <c r="Y659" s="49">
        <f t="shared" ref="Y659:Y661" si="274">W659-X659</f>
        <v>0</v>
      </c>
      <c r="Z659" s="595">
        <v>0</v>
      </c>
      <c r="AA659" s="49">
        <f>IF(Provozování!$BE$16="Neaktivní",H659,H659*Výpočty!$Q$58+Q659)</f>
        <v>0</v>
      </c>
      <c r="AB659" s="32">
        <f t="shared" ref="AB659:AB661" si="275">Z659-AA659</f>
        <v>0</v>
      </c>
      <c r="AC659" s="183"/>
      <c r="AD659" s="183"/>
      <c r="AK659" s="183"/>
      <c r="AL659" s="183"/>
      <c r="AM659" s="183"/>
      <c r="AN659" s="183"/>
    </row>
    <row r="660" spans="2:40" x14ac:dyDescent="0.25">
      <c r="B660" s="12" t="s">
        <v>35</v>
      </c>
      <c r="C660" s="13" t="s">
        <v>36</v>
      </c>
      <c r="D660" s="3" t="s">
        <v>10</v>
      </c>
      <c r="E660" s="49">
        <v>0</v>
      </c>
      <c r="F660" s="589">
        <f>IF(YEAR(Postup!$H$25)&gt;$D$634,Provozování!BC35,IF(AND(DAY(Postup!$H$25)=31,MONTH(Postup!$H$25)=12,YEAR(Postup!$H$25)=$D$634),Provozování!BC35,IF(YEAR(Postup!$H$25)=$D$634,Provozování!$BL35,0)))</f>
        <v>0</v>
      </c>
      <c r="G660" s="49">
        <v>0</v>
      </c>
      <c r="H660" s="590">
        <f>IF(YEAR(Postup!$H$25)&gt;$D$634,Provozování!BD35,IF(AND(DAY(Postup!$H$25)=31,MONTH(Postup!$H$25)=12,YEAR(Postup!$H$25)=$D$634),Provozování!BD35,IF(YEAR(Postup!$H$25)=$D$634,Provozování!$BM35,0)))</f>
        <v>0</v>
      </c>
      <c r="K660" s="12" t="s">
        <v>35</v>
      </c>
      <c r="L660" s="13" t="s">
        <v>36</v>
      </c>
      <c r="M660" s="3" t="s">
        <v>10</v>
      </c>
      <c r="N660" s="49">
        <v>0</v>
      </c>
      <c r="O660" s="444">
        <f>IF(Provozování!$BE$16="Neaktivní",0,Provozování!BE35)</f>
        <v>0</v>
      </c>
      <c r="P660" s="49">
        <v>0</v>
      </c>
      <c r="Q660" s="450">
        <f>IF(Provozování!$BE$16="Neaktivní",0,Provozování!BF35)</f>
        <v>0</v>
      </c>
      <c r="T660" s="12" t="s">
        <v>35</v>
      </c>
      <c r="U660" s="13" t="s">
        <v>36</v>
      </c>
      <c r="V660" s="3" t="s">
        <v>10</v>
      </c>
      <c r="W660" s="595">
        <v>0</v>
      </c>
      <c r="X660" s="49">
        <f>IF(Provozování!$BE$16="Neaktivní",F660,F660*Výpočty!$Q$58+O660)</f>
        <v>0</v>
      </c>
      <c r="Y660" s="49">
        <f t="shared" si="274"/>
        <v>0</v>
      </c>
      <c r="Z660" s="595">
        <v>0</v>
      </c>
      <c r="AA660" s="49">
        <f>IF(Provozování!$BE$16="Neaktivní",H660,H660*Výpočty!$Q$58+Q660)</f>
        <v>0</v>
      </c>
      <c r="AB660" s="32">
        <f t="shared" si="275"/>
        <v>0</v>
      </c>
      <c r="AC660" s="183"/>
      <c r="AD660" s="183"/>
      <c r="AK660" s="183"/>
      <c r="AL660" s="183"/>
      <c r="AM660" s="183"/>
      <c r="AN660" s="183"/>
    </row>
    <row r="661" spans="2:40" x14ac:dyDescent="0.25">
      <c r="B661" s="12" t="s">
        <v>37</v>
      </c>
      <c r="C661" s="13" t="s">
        <v>38</v>
      </c>
      <c r="D661" s="3" t="s">
        <v>10</v>
      </c>
      <c r="E661" s="49">
        <v>0</v>
      </c>
      <c r="F661" s="49">
        <f>IF(YEAR(Postup!$H$25)&gt;$D$634,Provozování!BC36,IF(AND(DAY(Postup!$H$25)=31,MONTH(Postup!$H$25)=12,YEAR(Postup!$H$25)=$D$634),Provozování!BC36,IF(YEAR(Postup!$H$25)=$D$634,Provozování!$BL36,0)))</f>
        <v>0</v>
      </c>
      <c r="G661" s="49">
        <v>0</v>
      </c>
      <c r="H661" s="32">
        <f>IF(YEAR(Postup!$H$25)&gt;$D$634,Provozování!BD36,IF(AND(DAY(Postup!$H$25)=31,MONTH(Postup!$H$25)=12,YEAR(Postup!$H$25)=$D$634),Provozování!BD36,IF(YEAR(Postup!$H$25)=$D$634,Provozování!$BM36,0)))</f>
        <v>0</v>
      </c>
      <c r="K661" s="12" t="s">
        <v>37</v>
      </c>
      <c r="L661" s="13" t="s">
        <v>38</v>
      </c>
      <c r="M661" s="3" t="s">
        <v>10</v>
      </c>
      <c r="N661" s="49">
        <v>0</v>
      </c>
      <c r="O661" s="49">
        <f>IF(Provozování!$BE$16="Neaktivní",0,Provozování!BE36)</f>
        <v>0</v>
      </c>
      <c r="P661" s="49">
        <v>0</v>
      </c>
      <c r="Q661" s="59">
        <f>IF(Provozování!$BE$16="Neaktivní",0,Provozování!BF36)</f>
        <v>0</v>
      </c>
      <c r="T661" s="12" t="s">
        <v>37</v>
      </c>
      <c r="U661" s="13" t="s">
        <v>38</v>
      </c>
      <c r="V661" s="3" t="s">
        <v>10</v>
      </c>
      <c r="W661" s="595">
        <v>0</v>
      </c>
      <c r="X661" s="49">
        <f>IF(Provozování!$BE$16="Neaktivní",F661,F661*Výpočty!$Q$58+O661)</f>
        <v>0</v>
      </c>
      <c r="Y661" s="49">
        <f t="shared" si="274"/>
        <v>0</v>
      </c>
      <c r="Z661" s="595">
        <v>0</v>
      </c>
      <c r="AA661" s="49">
        <f>IF(Provozování!$BE$16="Neaktivní",H661,H661*Výpočty!$Q$58+Q661)</f>
        <v>0</v>
      </c>
      <c r="AB661" s="32">
        <f t="shared" si="275"/>
        <v>0</v>
      </c>
      <c r="AC661" s="183"/>
      <c r="AD661" s="183"/>
      <c r="AK661" s="183"/>
      <c r="AL661" s="183"/>
      <c r="AM661" s="183"/>
      <c r="AN661" s="183"/>
    </row>
    <row r="662" spans="2:40" x14ac:dyDescent="0.25">
      <c r="B662" s="12" t="s">
        <v>39</v>
      </c>
      <c r="C662" s="21" t="s">
        <v>40</v>
      </c>
      <c r="D662" s="3" t="s">
        <v>10</v>
      </c>
      <c r="E662" s="49">
        <v>0</v>
      </c>
      <c r="F662" s="445">
        <v>0</v>
      </c>
      <c r="G662" s="49">
        <v>0</v>
      </c>
      <c r="H662" s="442">
        <v>0</v>
      </c>
      <c r="K662" s="12" t="s">
        <v>39</v>
      </c>
      <c r="L662" s="21" t="s">
        <v>40</v>
      </c>
      <c r="M662" s="3" t="s">
        <v>10</v>
      </c>
      <c r="N662" s="49">
        <v>0</v>
      </c>
      <c r="O662" s="445">
        <v>0</v>
      </c>
      <c r="P662" s="49">
        <v>0</v>
      </c>
      <c r="Q662" s="442">
        <v>0</v>
      </c>
      <c r="T662" s="12" t="s">
        <v>39</v>
      </c>
      <c r="U662" s="21" t="s">
        <v>40</v>
      </c>
      <c r="V662" s="3" t="s">
        <v>10</v>
      </c>
      <c r="W662" s="445">
        <v>0</v>
      </c>
      <c r="X662" s="445">
        <v>0</v>
      </c>
      <c r="Y662" s="445">
        <v>0</v>
      </c>
      <c r="Z662" s="445">
        <v>0</v>
      </c>
      <c r="AA662" s="445">
        <v>0</v>
      </c>
      <c r="AB662" s="442">
        <v>0</v>
      </c>
      <c r="AC662" s="183"/>
      <c r="AD662" s="183"/>
      <c r="AK662" s="183"/>
      <c r="AL662" s="183"/>
      <c r="AM662" s="183"/>
      <c r="AN662" s="183"/>
    </row>
    <row r="663" spans="2:40" x14ac:dyDescent="0.25">
      <c r="B663" s="9" t="s">
        <v>41</v>
      </c>
      <c r="C663" s="10" t="s">
        <v>42</v>
      </c>
      <c r="D663" s="11" t="s">
        <v>10</v>
      </c>
      <c r="E663" s="46">
        <f>SUM(E664:E666)</f>
        <v>0</v>
      </c>
      <c r="F663" s="46">
        <f>SUM(F664:F666)</f>
        <v>0</v>
      </c>
      <c r="G663" s="46">
        <f>SUM(G664:G666)</f>
        <v>0</v>
      </c>
      <c r="H663" s="98">
        <f>SUM(H664:H666)</f>
        <v>0</v>
      </c>
      <c r="K663" s="9" t="s">
        <v>41</v>
      </c>
      <c r="L663" s="10" t="s">
        <v>42</v>
      </c>
      <c r="M663" s="11" t="s">
        <v>10</v>
      </c>
      <c r="N663" s="46">
        <f>SUM(N664:N666)</f>
        <v>0</v>
      </c>
      <c r="O663" s="46">
        <f>SUM(O664:O666)</f>
        <v>0</v>
      </c>
      <c r="P663" s="46">
        <f>SUM(P664:P666)</f>
        <v>0</v>
      </c>
      <c r="Q663" s="98">
        <f>SUM(Q664:Q666)</f>
        <v>0</v>
      </c>
      <c r="T663" s="9" t="s">
        <v>41</v>
      </c>
      <c r="U663" s="10" t="s">
        <v>42</v>
      </c>
      <c r="V663" s="11" t="s">
        <v>10</v>
      </c>
      <c r="W663" s="98">
        <f t="shared" ref="W663:AB663" si="276">SUM(W664:W666)</f>
        <v>0</v>
      </c>
      <c r="X663" s="98">
        <f t="shared" si="276"/>
        <v>0</v>
      </c>
      <c r="Y663" s="98">
        <f t="shared" si="276"/>
        <v>0</v>
      </c>
      <c r="Z663" s="98">
        <f t="shared" si="276"/>
        <v>0</v>
      </c>
      <c r="AA663" s="98">
        <f t="shared" si="276"/>
        <v>0</v>
      </c>
      <c r="AB663" s="98">
        <f t="shared" si="276"/>
        <v>0</v>
      </c>
      <c r="AC663" s="183"/>
      <c r="AD663" s="183"/>
      <c r="AK663" s="183"/>
      <c r="AL663" s="183"/>
      <c r="AM663" s="183"/>
      <c r="AN663" s="183"/>
    </row>
    <row r="664" spans="2:40" x14ac:dyDescent="0.25">
      <c r="B664" s="12" t="s">
        <v>43</v>
      </c>
      <c r="C664" s="13" t="s">
        <v>44</v>
      </c>
      <c r="D664" s="3" t="s">
        <v>10</v>
      </c>
      <c r="E664" s="49">
        <v>0</v>
      </c>
      <c r="F664" s="445">
        <v>0</v>
      </c>
      <c r="G664" s="49">
        <v>0</v>
      </c>
      <c r="H664" s="32">
        <f>IF(YEAR(Postup!$H$25)&gt;$D$634,Provozování!BD39,IF(AND(DAY(Postup!$H$25)=31,MONTH(Postup!$H$25)=12,YEAR(Postup!$H$25)=$D$634),Provozování!BD39,IF(YEAR(Postup!$H$25)=$D$634,Provozování!$BM39,0)))</f>
        <v>0</v>
      </c>
      <c r="K664" s="12" t="s">
        <v>43</v>
      </c>
      <c r="L664" s="13" t="s">
        <v>44</v>
      </c>
      <c r="M664" s="3" t="s">
        <v>10</v>
      </c>
      <c r="N664" s="49">
        <v>0</v>
      </c>
      <c r="O664" s="445">
        <v>0</v>
      </c>
      <c r="P664" s="49">
        <v>0</v>
      </c>
      <c r="Q664" s="59">
        <f>IF(Provozování!$BE$16="Neaktivní",0,Provozování!BF39)</f>
        <v>0</v>
      </c>
      <c r="T664" s="12" t="s">
        <v>43</v>
      </c>
      <c r="U664" s="13" t="s">
        <v>44</v>
      </c>
      <c r="V664" s="3" t="s">
        <v>10</v>
      </c>
      <c r="W664" s="445">
        <v>0</v>
      </c>
      <c r="X664" s="445">
        <v>0</v>
      </c>
      <c r="Y664" s="445">
        <v>0</v>
      </c>
      <c r="Z664" s="595">
        <v>0</v>
      </c>
      <c r="AA664" s="49">
        <f>IF(Provozování!$BE$16="Neaktivní",H664,H664*Výpočty!$Q$58+Q664)</f>
        <v>0</v>
      </c>
      <c r="AB664" s="32">
        <f t="shared" ref="AB664:AB667" si="277">Z664-AA664</f>
        <v>0</v>
      </c>
      <c r="AC664" s="183"/>
      <c r="AD664" s="183"/>
      <c r="AE664" s="951" t="s">
        <v>362</v>
      </c>
      <c r="AF664" s="952"/>
      <c r="AG664" s="447">
        <f>Y644</f>
        <v>2029</v>
      </c>
      <c r="AH664" s="447">
        <f>AG664</f>
        <v>2029</v>
      </c>
      <c r="AK664" s="183"/>
      <c r="AL664" s="183"/>
      <c r="AM664" s="183"/>
      <c r="AN664" s="183"/>
    </row>
    <row r="665" spans="2:40" x14ac:dyDescent="0.25">
      <c r="B665" s="12" t="s">
        <v>45</v>
      </c>
      <c r="C665" s="12" t="s">
        <v>46</v>
      </c>
      <c r="D665" s="3" t="s">
        <v>10</v>
      </c>
      <c r="E665" s="49">
        <v>0</v>
      </c>
      <c r="F665" s="590">
        <f>IF(YEAR(Postup!$H$25)&gt;$D$634,Provozování!BC40,IF(AND(DAY(Postup!$H$25)=31,MONTH(Postup!$H$25)=12,YEAR(Postup!$H$25)=$D$634),Provozování!BC40,IF(YEAR(Postup!$H$25)=$D$634,Provozování!$BL40,0)))</f>
        <v>0</v>
      </c>
      <c r="G665" s="49">
        <v>0</v>
      </c>
      <c r="H665" s="590">
        <f>IF(YEAR(Postup!$H$25)&gt;$D$634,Provozování!BD40,IF(AND(DAY(Postup!$H$25)=31,MONTH(Postup!$H$25)=12,YEAR(Postup!$H$25)=$D$634),Provozování!BD40,IF(YEAR(Postup!$H$25)=$D$634,Provozování!$BM40,0)))</f>
        <v>0</v>
      </c>
      <c r="K665" s="12" t="s">
        <v>45</v>
      </c>
      <c r="L665" s="12" t="s">
        <v>46</v>
      </c>
      <c r="M665" s="3" t="s">
        <v>10</v>
      </c>
      <c r="N665" s="49">
        <v>0</v>
      </c>
      <c r="O665" s="443">
        <f>IF(Provozování!$BE$16="Neaktivní",0,Provozování!BE40)</f>
        <v>0</v>
      </c>
      <c r="P665" s="49">
        <v>0</v>
      </c>
      <c r="Q665" s="443">
        <f>IF(Provozování!$BE$16="Neaktivní",0,Provozování!BF40)</f>
        <v>0</v>
      </c>
      <c r="T665" s="12" t="s">
        <v>45</v>
      </c>
      <c r="U665" s="12" t="s">
        <v>46</v>
      </c>
      <c r="V665" s="3" t="s">
        <v>10</v>
      </c>
      <c r="W665" s="595">
        <v>0</v>
      </c>
      <c r="X665" s="49">
        <f>IF(Provozování!$BE$16="Neaktivní",F665,F665*Výpočty!$Q$58+O665)</f>
        <v>0</v>
      </c>
      <c r="Y665" s="49">
        <f t="shared" ref="Y665:Y667" si="278">W665-X665</f>
        <v>0</v>
      </c>
      <c r="Z665" s="595">
        <v>0</v>
      </c>
      <c r="AA665" s="49">
        <f>IF(Provozování!$BE$16="Neaktivní",H665,H665*Výpočty!$Q$58+Q665)</f>
        <v>0</v>
      </c>
      <c r="AB665" s="32">
        <f t="shared" si="277"/>
        <v>0</v>
      </c>
      <c r="AC665" s="183"/>
      <c r="AD665" s="183"/>
      <c r="AE665" s="953"/>
      <c r="AF665" s="954"/>
      <c r="AG665" s="957" t="s">
        <v>299</v>
      </c>
      <c r="AH665" s="957" t="s">
        <v>300</v>
      </c>
      <c r="AK665" s="183"/>
      <c r="AL665" s="183"/>
      <c r="AM665" s="183"/>
      <c r="AN665" s="183"/>
    </row>
    <row r="666" spans="2:40" x14ac:dyDescent="0.25">
      <c r="B666" s="12" t="s">
        <v>47</v>
      </c>
      <c r="C666" s="13" t="s">
        <v>48</v>
      </c>
      <c r="D666" s="3" t="s">
        <v>10</v>
      </c>
      <c r="E666" s="49">
        <v>0</v>
      </c>
      <c r="F666" s="590">
        <f>IF(YEAR(Postup!$H$25)&gt;$D$634,Provozování!BC41,IF(AND(DAY(Postup!$H$25)=31,MONTH(Postup!$H$25)=12,YEAR(Postup!$H$25)=$D$634),Provozování!BC41,IF(YEAR(Postup!$H$25)=$D$634,Provozování!$BL41,0)))</f>
        <v>0</v>
      </c>
      <c r="G666" s="49">
        <v>0</v>
      </c>
      <c r="H666" s="590">
        <f>IF(YEAR(Postup!$H$25)&gt;$D$634,Provozování!BD41,IF(AND(DAY(Postup!$H$25)=31,MONTH(Postup!$H$25)=12,YEAR(Postup!$H$25)=$D$634),Provozování!BD41,IF(YEAR(Postup!$H$25)=$D$634,Provozování!$BM41,0)))</f>
        <v>0</v>
      </c>
      <c r="K666" s="12" t="s">
        <v>47</v>
      </c>
      <c r="L666" s="13" t="s">
        <v>48</v>
      </c>
      <c r="M666" s="3" t="s">
        <v>10</v>
      </c>
      <c r="N666" s="49">
        <v>0</v>
      </c>
      <c r="O666" s="443">
        <f>IF(Provozování!$BE$16="Neaktivní",0,Provozování!BE41)</f>
        <v>0</v>
      </c>
      <c r="P666" s="49">
        <v>0</v>
      </c>
      <c r="Q666" s="443">
        <f>IF(Provozování!$BE$16="Neaktivní",0,Provozování!BF41)</f>
        <v>0</v>
      </c>
      <c r="T666" s="12" t="s">
        <v>47</v>
      </c>
      <c r="U666" s="13" t="s">
        <v>48</v>
      </c>
      <c r="V666" s="3" t="s">
        <v>10</v>
      </c>
      <c r="W666" s="595">
        <v>0</v>
      </c>
      <c r="X666" s="49">
        <f>IF(Provozování!$BE$16="Neaktivní",F666,F666*Výpočty!$Q$58+O666)</f>
        <v>0</v>
      </c>
      <c r="Y666" s="49">
        <f t="shared" si="278"/>
        <v>0</v>
      </c>
      <c r="Z666" s="595">
        <v>0</v>
      </c>
      <c r="AA666" s="49">
        <f>IF(Provozování!$BE$16="Neaktivní",H666,H666*Výpočty!$Q$58+Q666)</f>
        <v>0</v>
      </c>
      <c r="AB666" s="32">
        <f t="shared" si="277"/>
        <v>0</v>
      </c>
      <c r="AC666" s="183"/>
      <c r="AD666" s="183"/>
      <c r="AE666" s="955"/>
      <c r="AF666" s="956"/>
      <c r="AG666" s="958"/>
      <c r="AH666" s="958"/>
      <c r="AK666" s="183"/>
      <c r="AL666" s="183"/>
      <c r="AM666" s="183"/>
      <c r="AN666" s="183"/>
    </row>
    <row r="667" spans="2:40" x14ac:dyDescent="0.25">
      <c r="B667" s="9" t="s">
        <v>49</v>
      </c>
      <c r="C667" s="10" t="s">
        <v>50</v>
      </c>
      <c r="D667" s="11" t="s">
        <v>10</v>
      </c>
      <c r="E667" s="49">
        <v>0</v>
      </c>
      <c r="F667" s="589">
        <f>IF(YEAR(Postup!$H$25)&gt;$D$634,Provozování!BC42,IF(AND(DAY(Postup!$H$25)=31,MONTH(Postup!$H$25)=12,YEAR(Postup!$H$25)=$D$634),Provozování!BC42,IF(YEAR(Postup!$H$25)=$D$634,Provozování!$BL42,0)))</f>
        <v>0</v>
      </c>
      <c r="G667" s="49">
        <v>0</v>
      </c>
      <c r="H667" s="590">
        <f>IF(YEAR(Postup!$H$25)&gt;$D$634,Provozování!BD42,IF(AND(DAY(Postup!$H$25)=31,MONTH(Postup!$H$25)=12,YEAR(Postup!$H$25)=$D$634),Provozování!BD42,IF(YEAR(Postup!$H$25)=$D$634,Provozování!$BM42,0)))</f>
        <v>0</v>
      </c>
      <c r="K667" s="9" t="s">
        <v>49</v>
      </c>
      <c r="L667" s="10" t="s">
        <v>50</v>
      </c>
      <c r="M667" s="11" t="s">
        <v>10</v>
      </c>
      <c r="N667" s="49">
        <v>0</v>
      </c>
      <c r="O667" s="444">
        <f>IF(Provozování!$BE$16="Neaktivní",0,Provozování!BE42)</f>
        <v>0</v>
      </c>
      <c r="P667" s="49">
        <v>0</v>
      </c>
      <c r="Q667" s="450">
        <f>IF(Provozování!$BE$16="Neaktivní",0,Provozování!BF42)</f>
        <v>0</v>
      </c>
      <c r="T667" s="9" t="s">
        <v>49</v>
      </c>
      <c r="U667" s="10" t="s">
        <v>50</v>
      </c>
      <c r="V667" s="11" t="s">
        <v>10</v>
      </c>
      <c r="W667" s="595">
        <v>0</v>
      </c>
      <c r="X667" s="49">
        <f>IF(Provozování!$BE$16="Neaktivní",F667,F667*Výpočty!$Q$58+O667)</f>
        <v>0</v>
      </c>
      <c r="Y667" s="49">
        <f t="shared" si="278"/>
        <v>0</v>
      </c>
      <c r="Z667" s="595">
        <v>0</v>
      </c>
      <c r="AA667" s="49">
        <f>IF(Provozování!$BE$16="Neaktivní",H667,H667*Výpočty!$Q$58+Q667)</f>
        <v>0</v>
      </c>
      <c r="AB667" s="32">
        <f t="shared" si="277"/>
        <v>0</v>
      </c>
      <c r="AC667" s="183"/>
      <c r="AD667" s="183"/>
      <c r="AE667" s="12" t="s">
        <v>405</v>
      </c>
      <c r="AF667" s="12" t="s">
        <v>408</v>
      </c>
      <c r="AG667" s="542">
        <f>Z695</f>
        <v>0</v>
      </c>
      <c r="AH667" s="542">
        <f>AB695</f>
        <v>0</v>
      </c>
      <c r="AK667" s="183"/>
      <c r="AL667" s="183"/>
      <c r="AM667" s="183"/>
      <c r="AN667" s="183"/>
    </row>
    <row r="668" spans="2:40" x14ac:dyDescent="0.25">
      <c r="B668" s="9" t="s">
        <v>51</v>
      </c>
      <c r="C668" s="10" t="s">
        <v>52</v>
      </c>
      <c r="D668" s="11" t="s">
        <v>10</v>
      </c>
      <c r="E668" s="49">
        <v>0</v>
      </c>
      <c r="F668" s="589">
        <f>IF(YEAR(Postup!$H$25)&gt;$D$634,Provozování!BC43-Provozování!BC97,IF(AND(DAY(Postup!$H$25)=31,MONTH(Postup!$H$25)=12,YEAR(Postup!$H$25)=$D$634),Provozování!BC43-Provozování!BC97,IF(YEAR(Postup!$H$25)=$D$634,Provozování!$BL43-Provozování!BC97,0)))</f>
        <v>0</v>
      </c>
      <c r="G668" s="49">
        <v>0</v>
      </c>
      <c r="H668" s="590">
        <f>IF(YEAR(Postup!$H$25)&gt;$D$634,Provozování!BD43-Provozování!BD97,IF(AND(DAY(Postup!$H$25)=31,MONTH(Postup!$H$25)=12,YEAR(Postup!$H$25)=$D$634),Provozování!BD43-Provozování!BD97,IF(YEAR(Postup!$H$25)=$D$634,Provozování!$BM43-Provozování!BD97,0)))</f>
        <v>0</v>
      </c>
      <c r="K668" s="9" t="s">
        <v>51</v>
      </c>
      <c r="L668" s="10" t="s">
        <v>52</v>
      </c>
      <c r="M668" s="11" t="s">
        <v>10</v>
      </c>
      <c r="N668" s="49">
        <v>0</v>
      </c>
      <c r="O668" s="444">
        <f>IF(Provozování!$BE$16="Neaktivní",0,Provozování!BE43-Provozování!BC97*Výpočty!Q53)</f>
        <v>0</v>
      </c>
      <c r="P668" s="49">
        <v>0</v>
      </c>
      <c r="Q668" s="450">
        <f>IF(Provozování!$BE$16="Neaktivní",0,Provozování!BF43-Provozování!BD97*Výpočty!Q53)</f>
        <v>0</v>
      </c>
      <c r="T668" s="9" t="s">
        <v>51</v>
      </c>
      <c r="U668" s="10" t="s">
        <v>52</v>
      </c>
      <c r="V668" s="11" t="s">
        <v>10</v>
      </c>
      <c r="W668" s="595">
        <v>0</v>
      </c>
      <c r="X668" s="49">
        <f>IF(Provozování!$BE$16="Neaktivní",F668,F668*Výpočty!$Q$58+O668)</f>
        <v>0</v>
      </c>
      <c r="Y668" s="49">
        <f>ABS(W668)-ABS(X668)</f>
        <v>0</v>
      </c>
      <c r="Z668" s="595">
        <v>0</v>
      </c>
      <c r="AA668" s="49">
        <f>IF(Provozování!$BE$16="Neaktivní",H668,H668*Výpočty!$Q$58+Q668)</f>
        <v>0</v>
      </c>
      <c r="AB668" s="32">
        <f>ABS(Z668)-ABS(AA668)</f>
        <v>0</v>
      </c>
      <c r="AC668" s="183"/>
      <c r="AD668" s="183"/>
      <c r="AE668" s="12" t="s">
        <v>406</v>
      </c>
      <c r="AF668" s="13" t="s">
        <v>410</v>
      </c>
      <c r="AG668" s="360">
        <f>Y694</f>
        <v>0</v>
      </c>
      <c r="AH668" s="360">
        <f>AA694</f>
        <v>0</v>
      </c>
      <c r="AK668" s="183"/>
      <c r="AL668" s="183"/>
      <c r="AM668" s="183"/>
      <c r="AN668" s="183"/>
    </row>
    <row r="669" spans="2:40" x14ac:dyDescent="0.25">
      <c r="B669" s="9" t="s">
        <v>53</v>
      </c>
      <c r="C669" s="10" t="s">
        <v>54</v>
      </c>
      <c r="D669" s="11" t="s">
        <v>10</v>
      </c>
      <c r="E669" s="49">
        <v>0</v>
      </c>
      <c r="F669" s="590">
        <f>IF(YEAR(Postup!$H$25)&gt;$D$634,Provozování!BC44,IF(AND(DAY(Postup!$H$25)=31,MONTH(Postup!$H$25)=12,YEAR(Postup!$H$25)=$D$634),Provozování!BC44,IF(YEAR(Postup!$H$25)=$D$634,Provozování!$BL44,0)))</f>
        <v>0</v>
      </c>
      <c r="G669" s="49">
        <v>0</v>
      </c>
      <c r="H669" s="590">
        <f>IF(YEAR(Postup!$H$25)&gt;$D$634,Provozování!BD44,IF(AND(DAY(Postup!$H$25)=31,MONTH(Postup!$H$25)=12,YEAR(Postup!$H$25)=$D$634),Provozování!BD44,IF(YEAR(Postup!$H$25)=$D$634,Provozování!$BM44,0)))</f>
        <v>0</v>
      </c>
      <c r="K669" s="9" t="s">
        <v>53</v>
      </c>
      <c r="L669" s="10" t="s">
        <v>54</v>
      </c>
      <c r="M669" s="11" t="s">
        <v>10</v>
      </c>
      <c r="N669" s="49">
        <v>0</v>
      </c>
      <c r="O669" s="443">
        <f>IF(Provozování!$BE$16="Neaktivní",0,Provozování!BE44)</f>
        <v>0</v>
      </c>
      <c r="P669" s="49">
        <v>0</v>
      </c>
      <c r="Q669" s="443">
        <f>IF(Provozování!$BE$16="Neaktivní",0,Provozování!BF44)</f>
        <v>0</v>
      </c>
      <c r="T669" s="9" t="s">
        <v>53</v>
      </c>
      <c r="U669" s="10" t="s">
        <v>54</v>
      </c>
      <c r="V669" s="11" t="s">
        <v>10</v>
      </c>
      <c r="W669" s="595">
        <v>0</v>
      </c>
      <c r="X669" s="49">
        <f>IF(Provozování!$BE$16="Neaktivní",F669,F669*Výpočty!$Q$58+O669)</f>
        <v>0</v>
      </c>
      <c r="Y669" s="49">
        <f t="shared" ref="Y669:Y670" si="279">W669-X669</f>
        <v>0</v>
      </c>
      <c r="Z669" s="595">
        <v>0</v>
      </c>
      <c r="AA669" s="49">
        <f>IF(Provozování!$BE$16="Neaktivní",H669,H669*Výpočty!$Q$58+Q669)</f>
        <v>0</v>
      </c>
      <c r="AB669" s="32">
        <f t="shared" ref="AB669:AB670" si="280">Z669-AA669</f>
        <v>0</v>
      </c>
      <c r="AC669" s="183"/>
      <c r="AD669" s="183"/>
      <c r="AE669" s="12" t="s">
        <v>407</v>
      </c>
      <c r="AF669" s="13" t="s">
        <v>409</v>
      </c>
      <c r="AG669" s="360">
        <f>Z694</f>
        <v>0</v>
      </c>
      <c r="AH669" s="360">
        <f>AB694</f>
        <v>0</v>
      </c>
      <c r="AK669" s="183"/>
      <c r="AL669" s="183"/>
      <c r="AM669" s="183"/>
      <c r="AN669" s="183"/>
    </row>
    <row r="670" spans="2:40" x14ac:dyDescent="0.25">
      <c r="B670" s="9" t="s">
        <v>55</v>
      </c>
      <c r="C670" s="10" t="s">
        <v>56</v>
      </c>
      <c r="D670" s="11" t="s">
        <v>10</v>
      </c>
      <c r="E670" s="49">
        <v>0</v>
      </c>
      <c r="F670" s="590">
        <f>IF(YEAR(Postup!$H$25)&gt;$D$634,Provozování!BC45,IF(AND(DAY(Postup!$H$25)=31,MONTH(Postup!$H$25)=12,YEAR(Postup!$H$25)=$D$634),Provozování!BC45,IF(YEAR(Postup!$H$25)=$D$634,Provozování!$BL45,0)))</f>
        <v>0</v>
      </c>
      <c r="G670" s="49">
        <v>0</v>
      </c>
      <c r="H670" s="590">
        <f>IF(YEAR(Postup!$H$25)&gt;$D$634,Provozování!BD45,IF(AND(DAY(Postup!$H$25)=31,MONTH(Postup!$H$25)=12,YEAR(Postup!$H$25)=$D$634),Provozování!BD45,IF(YEAR(Postup!$H$25)=$D$634,Provozování!$BM45,0)))</f>
        <v>0</v>
      </c>
      <c r="K670" s="9" t="s">
        <v>55</v>
      </c>
      <c r="L670" s="10" t="s">
        <v>56</v>
      </c>
      <c r="M670" s="11" t="s">
        <v>10</v>
      </c>
      <c r="N670" s="49">
        <v>0</v>
      </c>
      <c r="O670" s="443">
        <f>IF(Provozování!$BE$16="Neaktivní",0,Provozování!BE45)</f>
        <v>0</v>
      </c>
      <c r="P670" s="49">
        <v>0</v>
      </c>
      <c r="Q670" s="443">
        <f>IF(Provozování!$BE$16="Neaktivní",0,Provozování!BF45)</f>
        <v>0</v>
      </c>
      <c r="T670" s="9" t="s">
        <v>55</v>
      </c>
      <c r="U670" s="10" t="s">
        <v>56</v>
      </c>
      <c r="V670" s="11" t="s">
        <v>10</v>
      </c>
      <c r="W670" s="595">
        <v>0</v>
      </c>
      <c r="X670" s="49">
        <f>IF(Provozování!$BE$16="Neaktivní",F670,F670*Výpočty!$Q$58+O670)</f>
        <v>0</v>
      </c>
      <c r="Y670" s="49">
        <f t="shared" si="279"/>
        <v>0</v>
      </c>
      <c r="Z670" s="595">
        <v>0</v>
      </c>
      <c r="AA670" s="49">
        <f>IF(Provozování!$BE$16="Neaktivní",H670,H670*Výpočty!$Q$58+Q670)</f>
        <v>0</v>
      </c>
      <c r="AB670" s="32">
        <f t="shared" si="280"/>
        <v>0</v>
      </c>
      <c r="AC670" s="183"/>
      <c r="AD670" s="183"/>
      <c r="AE670" s="12" t="s">
        <v>411</v>
      </c>
      <c r="AF670" s="12" t="s">
        <v>419</v>
      </c>
      <c r="AG670" s="360">
        <f>X671-X661</f>
        <v>0</v>
      </c>
      <c r="AH670" s="360">
        <f>AA671-AA661</f>
        <v>0</v>
      </c>
      <c r="AK670" s="183"/>
      <c r="AL670" s="183"/>
      <c r="AM670" s="183"/>
      <c r="AN670" s="183"/>
    </row>
    <row r="671" spans="2:40" x14ac:dyDescent="0.25">
      <c r="B671" s="9" t="s">
        <v>57</v>
      </c>
      <c r="C671" s="10" t="s">
        <v>58</v>
      </c>
      <c r="D671" s="11" t="s">
        <v>10</v>
      </c>
      <c r="E671" s="46">
        <f>E647+E652+E655+E658+E663+E667+E668+E669+E670</f>
        <v>0</v>
      </c>
      <c r="F671" s="46">
        <f>F647+F652+F655+F658+F663+F667+F668+F669+F670</f>
        <v>0</v>
      </c>
      <c r="G671" s="46">
        <f>G647+G652+G655+G658+G663+G667+G668+G669+G670</f>
        <v>0</v>
      </c>
      <c r="H671" s="98">
        <f>H647+H652+H655+H658+H663+H667+H668+H669+H670</f>
        <v>0</v>
      </c>
      <c r="K671" s="9" t="s">
        <v>57</v>
      </c>
      <c r="L671" s="10" t="s">
        <v>58</v>
      </c>
      <c r="M671" s="11" t="s">
        <v>10</v>
      </c>
      <c r="N671" s="46">
        <f>N647+N652+N655+N658+N663+N667+N668+N669+N670</f>
        <v>0</v>
      </c>
      <c r="O671" s="46">
        <f>O647+O652+O655+O658+O663+O667+O668+O669+O670</f>
        <v>0</v>
      </c>
      <c r="P671" s="46">
        <f>P647+P652+P655+P658+P663+P667+P668+P669+P670</f>
        <v>0</v>
      </c>
      <c r="Q671" s="98">
        <f>Q647+Q652+Q655+Q658+Q663+Q667+Q668+Q669+Q670</f>
        <v>0</v>
      </c>
      <c r="T671" s="9" t="s">
        <v>57</v>
      </c>
      <c r="U671" s="10" t="s">
        <v>58</v>
      </c>
      <c r="V671" s="11" t="s">
        <v>10</v>
      </c>
      <c r="W671" s="46">
        <f t="shared" ref="W671:AB671" si="281">W647+W652+W655+W658+W663+W667+W668+W669+W670</f>
        <v>0</v>
      </c>
      <c r="X671" s="46">
        <f t="shared" si="281"/>
        <v>0</v>
      </c>
      <c r="Y671" s="46">
        <f t="shared" si="281"/>
        <v>0</v>
      </c>
      <c r="Z671" s="46">
        <f t="shared" si="281"/>
        <v>0</v>
      </c>
      <c r="AA671" s="46">
        <f t="shared" si="281"/>
        <v>0</v>
      </c>
      <c r="AB671" s="98">
        <f t="shared" si="281"/>
        <v>0</v>
      </c>
      <c r="AC671" s="183"/>
      <c r="AD671" s="183"/>
      <c r="AE671" s="12" t="s">
        <v>412</v>
      </c>
      <c r="AF671" s="12" t="s">
        <v>418</v>
      </c>
      <c r="AG671" s="360">
        <f>W671-W661</f>
        <v>0</v>
      </c>
      <c r="AH671" s="360">
        <f>Z671-Z661</f>
        <v>0</v>
      </c>
      <c r="AK671" s="183"/>
      <c r="AL671" s="183"/>
      <c r="AM671" s="183"/>
      <c r="AN671" s="183"/>
    </row>
    <row r="672" spans="2:40" x14ac:dyDescent="0.25">
      <c r="B672" s="12" t="s">
        <v>59</v>
      </c>
      <c r="C672" s="13" t="s">
        <v>112</v>
      </c>
      <c r="D672" s="3" t="s">
        <v>10</v>
      </c>
      <c r="E672" s="437">
        <v>0</v>
      </c>
      <c r="F672" s="591">
        <f>F602</f>
        <v>0</v>
      </c>
      <c r="G672" s="437">
        <v>0</v>
      </c>
      <c r="H672" s="593">
        <f>H602</f>
        <v>0</v>
      </c>
      <c r="K672" s="12" t="s">
        <v>59</v>
      </c>
      <c r="L672" s="13" t="s">
        <v>112</v>
      </c>
      <c r="M672" s="3" t="s">
        <v>10</v>
      </c>
      <c r="N672" s="437">
        <v>0</v>
      </c>
      <c r="O672" s="437">
        <f>IF(Provozování!$V$16="Neaktivní",0,F672)</f>
        <v>0</v>
      </c>
      <c r="P672" s="437">
        <v>0</v>
      </c>
      <c r="Q672" s="438">
        <f>IF(Provozování!$V$16="Neaktivní",0,H672)</f>
        <v>0</v>
      </c>
      <c r="T672" s="47" t="s">
        <v>59</v>
      </c>
      <c r="U672" s="13" t="s">
        <v>112</v>
      </c>
      <c r="V672" s="3" t="s">
        <v>10</v>
      </c>
      <c r="W672" s="591">
        <v>0</v>
      </c>
      <c r="X672" s="437">
        <f>F672</f>
        <v>0</v>
      </c>
      <c r="Y672" s="437">
        <f>W672-X672</f>
        <v>0</v>
      </c>
      <c r="Z672" s="591">
        <v>0</v>
      </c>
      <c r="AA672" s="437">
        <f>H672</f>
        <v>0</v>
      </c>
      <c r="AB672" s="438">
        <f>Z672-AA672</f>
        <v>0</v>
      </c>
      <c r="AC672" s="183"/>
      <c r="AD672" s="183"/>
      <c r="AE672" s="12" t="s">
        <v>430</v>
      </c>
      <c r="AF672" s="12" t="s">
        <v>431</v>
      </c>
      <c r="AG672" s="360">
        <f>Provozování!BC$97</f>
        <v>0</v>
      </c>
      <c r="AH672" s="360">
        <f ca="1">Provozování!BD$97</f>
        <v>0</v>
      </c>
      <c r="AK672" s="183"/>
      <c r="AL672" s="183"/>
      <c r="AM672" s="183"/>
      <c r="AN672" s="183"/>
    </row>
    <row r="673" spans="2:40" x14ac:dyDescent="0.25">
      <c r="B673" s="12" t="s">
        <v>60</v>
      </c>
      <c r="C673" s="13" t="s">
        <v>113</v>
      </c>
      <c r="D673" s="3" t="s">
        <v>10</v>
      </c>
      <c r="E673" s="437">
        <v>0</v>
      </c>
      <c r="F673" s="591">
        <f>F603</f>
        <v>0</v>
      </c>
      <c r="G673" s="437">
        <v>0</v>
      </c>
      <c r="H673" s="593">
        <f>H603</f>
        <v>0</v>
      </c>
      <c r="K673" s="12" t="s">
        <v>60</v>
      </c>
      <c r="L673" s="13" t="s">
        <v>113</v>
      </c>
      <c r="M673" s="3" t="s">
        <v>10</v>
      </c>
      <c r="N673" s="437">
        <v>0</v>
      </c>
      <c r="O673" s="437">
        <f>IF(Provozování!$V$16="Neaktivní",0,F673)</f>
        <v>0</v>
      </c>
      <c r="P673" s="437">
        <v>0</v>
      </c>
      <c r="Q673" s="438">
        <f>IF(Provozování!$V$16="Neaktivní",0,H673)</f>
        <v>0</v>
      </c>
      <c r="T673" s="12" t="s">
        <v>60</v>
      </c>
      <c r="U673" s="13" t="s">
        <v>113</v>
      </c>
      <c r="V673" s="3" t="s">
        <v>10</v>
      </c>
      <c r="W673" s="591">
        <v>0</v>
      </c>
      <c r="X673" s="437">
        <f>F673</f>
        <v>0</v>
      </c>
      <c r="Y673" s="437">
        <f>W673-X673</f>
        <v>0</v>
      </c>
      <c r="Z673" s="591">
        <v>0</v>
      </c>
      <c r="AA673" s="437">
        <f>H673</f>
        <v>0</v>
      </c>
      <c r="AB673" s="438">
        <f>Z673-AA673</f>
        <v>0</v>
      </c>
      <c r="AC673" s="183"/>
      <c r="AD673" s="183"/>
      <c r="AE673" s="554" t="s">
        <v>434</v>
      </c>
      <c r="AF673" s="555"/>
      <c r="AG673" s="959">
        <f>(AG667*AG668-AG667*AG669)+(AG670-AG671)-AG672</f>
        <v>0</v>
      </c>
      <c r="AH673" s="959">
        <f ca="1">(AH667*AH668-AH667*AH669)+(AH670-AH671)-AH672</f>
        <v>0</v>
      </c>
      <c r="AK673" s="183"/>
      <c r="AL673" s="183"/>
      <c r="AM673" s="183"/>
      <c r="AN673" s="183"/>
    </row>
    <row r="674" spans="2:40" x14ac:dyDescent="0.25">
      <c r="B674" s="12" t="s">
        <v>61</v>
      </c>
      <c r="C674" s="13" t="s">
        <v>62</v>
      </c>
      <c r="D674" s="3" t="s">
        <v>63</v>
      </c>
      <c r="E674" s="439">
        <v>0</v>
      </c>
      <c r="F674" s="592">
        <f>F604</f>
        <v>0</v>
      </c>
      <c r="G674" s="439">
        <v>0</v>
      </c>
      <c r="H674" s="592">
        <f>H604</f>
        <v>0</v>
      </c>
      <c r="K674" s="12" t="s">
        <v>61</v>
      </c>
      <c r="L674" s="13" t="s">
        <v>62</v>
      </c>
      <c r="M674" s="3" t="s">
        <v>63</v>
      </c>
      <c r="N674" s="439">
        <v>0</v>
      </c>
      <c r="O674" s="439">
        <f>IF(Provozování!$V$16="Neaktivní",0,F674)</f>
        <v>0</v>
      </c>
      <c r="P674" s="439">
        <v>0</v>
      </c>
      <c r="Q674" s="440">
        <f>IF(Provozování!$V$16="Neaktivní",0,H674)</f>
        <v>0</v>
      </c>
      <c r="T674" s="12" t="s">
        <v>61</v>
      </c>
      <c r="U674" s="13" t="s">
        <v>62</v>
      </c>
      <c r="V674" s="3" t="s">
        <v>63</v>
      </c>
      <c r="W674" s="599">
        <v>0</v>
      </c>
      <c r="X674" s="439">
        <f>F674</f>
        <v>0</v>
      </c>
      <c r="Y674" s="440">
        <f>W674-X674</f>
        <v>0</v>
      </c>
      <c r="Z674" s="599">
        <v>0</v>
      </c>
      <c r="AA674" s="439">
        <f>H674</f>
        <v>0</v>
      </c>
      <c r="AB674" s="440">
        <f>Z674-AA674</f>
        <v>0</v>
      </c>
      <c r="AC674" s="183"/>
      <c r="AD674" s="183"/>
      <c r="AE674" s="544" t="s">
        <v>432</v>
      </c>
      <c r="AF674" s="543"/>
      <c r="AG674" s="960"/>
      <c r="AH674" s="960"/>
      <c r="AK674" s="183"/>
      <c r="AL674" s="183"/>
      <c r="AM674" s="183"/>
      <c r="AN674" s="183"/>
    </row>
    <row r="675" spans="2:40" x14ac:dyDescent="0.25">
      <c r="B675" s="12" t="s">
        <v>64</v>
      </c>
      <c r="C675" s="13" t="s">
        <v>65</v>
      </c>
      <c r="D675" s="3" t="s">
        <v>66</v>
      </c>
      <c r="E675" s="49">
        <v>0</v>
      </c>
      <c r="F675" s="49">
        <f>IF(YEAR(Postup!$H$25)&gt;$D$634,Provozování!BC47,IF(AND(DAY(Postup!$H$25)=31,MONTH(Postup!$H$25)=12,YEAR(Postup!$H$25)=$D$634),Provozování!BC47,IF(YEAR(Postup!$H$25)=$D$634,Provozování!$BL47,0)))</f>
        <v>0</v>
      </c>
      <c r="G675" s="49">
        <v>0</v>
      </c>
      <c r="H675" s="442">
        <v>0</v>
      </c>
      <c r="K675" s="12" t="s">
        <v>64</v>
      </c>
      <c r="L675" s="13" t="s">
        <v>65</v>
      </c>
      <c r="M675" s="3" t="s">
        <v>66</v>
      </c>
      <c r="N675" s="49">
        <v>0</v>
      </c>
      <c r="O675" s="49">
        <f>IF(Provozování!$BE$16="Neaktivní",0,Provozování!BE47)</f>
        <v>0</v>
      </c>
      <c r="P675" s="49">
        <v>0</v>
      </c>
      <c r="Q675" s="442">
        <v>0</v>
      </c>
      <c r="T675" s="12" t="s">
        <v>64</v>
      </c>
      <c r="U675" s="13" t="s">
        <v>65</v>
      </c>
      <c r="V675" s="3" t="s">
        <v>66</v>
      </c>
      <c r="W675" s="595">
        <v>0</v>
      </c>
      <c r="X675" s="49">
        <f>IF(Provozování!$BE$16="Neaktivní",F675,F675*Výpočty!$Q$58+O675)</f>
        <v>0</v>
      </c>
      <c r="Y675" s="49">
        <f>W675-X675</f>
        <v>0</v>
      </c>
      <c r="Z675" s="445">
        <v>0</v>
      </c>
      <c r="AA675" s="445">
        <v>0</v>
      </c>
      <c r="AB675" s="442">
        <v>0</v>
      </c>
      <c r="AC675" s="183"/>
      <c r="AD675" s="183"/>
      <c r="AE675" s="963" t="s">
        <v>416</v>
      </c>
      <c r="AF675" s="964"/>
      <c r="AG675" s="957" t="str">
        <f>IF(AG673&gt;0,"úspora",IF(AG673&lt;0,"ztráta provozovatele","-"))</f>
        <v>-</v>
      </c>
      <c r="AH675" s="957" t="str">
        <f ca="1">IF(AH673&gt;0,"úspora",IF(AH673&lt;0,"ztráta provozovatele","-"))</f>
        <v>-</v>
      </c>
      <c r="AK675" s="183"/>
      <c r="AL675" s="183"/>
      <c r="AM675" s="183"/>
      <c r="AN675" s="183"/>
    </row>
    <row r="676" spans="2:40" x14ac:dyDescent="0.25">
      <c r="B676" s="12" t="s">
        <v>67</v>
      </c>
      <c r="C676" s="13" t="s">
        <v>68</v>
      </c>
      <c r="D676" s="3" t="s">
        <v>66</v>
      </c>
      <c r="E676" s="49">
        <v>0</v>
      </c>
      <c r="F676" s="49">
        <f>IF(YEAR(Postup!$H$25)&gt;$D$634,Provozování!BC48,IF(AND(DAY(Postup!$H$25)=31,MONTH(Postup!$H$25)=12,YEAR(Postup!$H$25)=$D$634),Provozování!BC48,IF(YEAR(Postup!$H$25)=$D$634,Provozování!$BL48,0)))</f>
        <v>0</v>
      </c>
      <c r="G676" s="49">
        <v>0</v>
      </c>
      <c r="H676" s="442">
        <v>0</v>
      </c>
      <c r="K676" s="12" t="s">
        <v>67</v>
      </c>
      <c r="L676" s="13" t="s">
        <v>68</v>
      </c>
      <c r="M676" s="3" t="s">
        <v>66</v>
      </c>
      <c r="N676" s="49">
        <v>0</v>
      </c>
      <c r="O676" s="49">
        <f>IF(Provozování!$BE$16="Neaktivní",0,Provozování!BE48)</f>
        <v>0</v>
      </c>
      <c r="P676" s="49">
        <v>0</v>
      </c>
      <c r="Q676" s="442">
        <v>0</v>
      </c>
      <c r="T676" s="12" t="s">
        <v>67</v>
      </c>
      <c r="U676" s="13" t="s">
        <v>68</v>
      </c>
      <c r="V676" s="3" t="s">
        <v>66</v>
      </c>
      <c r="W676" s="595">
        <v>0</v>
      </c>
      <c r="X676" s="49">
        <f>IF(Provozování!$BE$16="Neaktivní",F676,F676*Výpočty!$Q$58+O676)</f>
        <v>0</v>
      </c>
      <c r="Y676" s="49">
        <f>W676-X676</f>
        <v>0</v>
      </c>
      <c r="Z676" s="445">
        <v>0</v>
      </c>
      <c r="AA676" s="445">
        <v>0</v>
      </c>
      <c r="AB676" s="442">
        <v>0</v>
      </c>
      <c r="AC676" s="183"/>
      <c r="AD676" s="183"/>
      <c r="AE676" s="965"/>
      <c r="AF676" s="966"/>
      <c r="AG676" s="958"/>
      <c r="AH676" s="958"/>
      <c r="AK676" s="183"/>
      <c r="AL676" s="183"/>
      <c r="AM676" s="183"/>
      <c r="AN676" s="183"/>
    </row>
    <row r="677" spans="2:40" x14ac:dyDescent="0.25">
      <c r="B677" s="12" t="s">
        <v>69</v>
      </c>
      <c r="C677" s="13" t="s">
        <v>70</v>
      </c>
      <c r="D677" s="3" t="s">
        <v>66</v>
      </c>
      <c r="E677" s="49">
        <v>0</v>
      </c>
      <c r="F677" s="445">
        <v>0</v>
      </c>
      <c r="G677" s="49">
        <v>0</v>
      </c>
      <c r="H677" s="32">
        <f>IF(YEAR(Postup!$H$25)&gt;$D$634,Provozování!BD49,IF(AND(DAY(Postup!$H$25)=31,MONTH(Postup!$H$25)=12,YEAR(Postup!$H$25)=$D$634),Provozování!BD49,IF(YEAR(Postup!$H$25)=$D$634,Provozování!$BM49,0)))</f>
        <v>0</v>
      </c>
      <c r="K677" s="12" t="s">
        <v>69</v>
      </c>
      <c r="L677" s="13" t="s">
        <v>70</v>
      </c>
      <c r="M677" s="3" t="s">
        <v>66</v>
      </c>
      <c r="N677" s="49">
        <v>0</v>
      </c>
      <c r="O677" s="445">
        <v>0</v>
      </c>
      <c r="P677" s="49">
        <v>0</v>
      </c>
      <c r="Q677" s="59">
        <f>IF(Provozování!$BE$16="Neaktivní",0,Provozování!BF49)</f>
        <v>0</v>
      </c>
      <c r="T677" s="12" t="s">
        <v>69</v>
      </c>
      <c r="U677" s="13" t="s">
        <v>70</v>
      </c>
      <c r="V677" s="3" t="s">
        <v>66</v>
      </c>
      <c r="W677" s="445">
        <v>0</v>
      </c>
      <c r="X677" s="445">
        <v>0</v>
      </c>
      <c r="Y677" s="445">
        <v>0</v>
      </c>
      <c r="Z677" s="595">
        <v>0</v>
      </c>
      <c r="AA677" s="49">
        <f>IF(Provozování!$BE$16="Neaktivní",H677,H677*Výpočty!$Q$58+Q677)</f>
        <v>0</v>
      </c>
      <c r="AB677" s="32">
        <f t="shared" ref="AB677:AB682" si="282">Z677-AA677</f>
        <v>0</v>
      </c>
      <c r="AC677" s="183"/>
      <c r="AD677" s="183"/>
      <c r="AE677" s="533" t="s">
        <v>422</v>
      </c>
      <c r="AF677" s="533"/>
      <c r="AG677" s="453">
        <f>IF(AG673&gt;0,AG673/AG670,0)</f>
        <v>0</v>
      </c>
      <c r="AH677" s="453">
        <f ca="1">IF(AH673&gt;0,AH673/AH670,0)</f>
        <v>0</v>
      </c>
      <c r="AK677" s="183"/>
      <c r="AL677" s="183"/>
      <c r="AM677" s="183"/>
      <c r="AN677" s="183"/>
    </row>
    <row r="678" spans="2:40" x14ac:dyDescent="0.25">
      <c r="B678" s="12" t="s">
        <v>71</v>
      </c>
      <c r="C678" s="13" t="s">
        <v>68</v>
      </c>
      <c r="D678" s="3" t="s">
        <v>66</v>
      </c>
      <c r="E678" s="49">
        <v>0</v>
      </c>
      <c r="F678" s="445">
        <v>0</v>
      </c>
      <c r="G678" s="49">
        <v>0</v>
      </c>
      <c r="H678" s="32">
        <f>IF(YEAR(Postup!$H$25)&gt;$D$634,Provozování!BD50,IF(AND(DAY(Postup!$H$25)=31,MONTH(Postup!$H$25)=12,YEAR(Postup!$H$25)=$D$634),Provozování!BD50,IF(YEAR(Postup!$H$25)=$D$634,Provozování!$BM50,0)))</f>
        <v>0</v>
      </c>
      <c r="K678" s="12" t="s">
        <v>71</v>
      </c>
      <c r="L678" s="13" t="s">
        <v>68</v>
      </c>
      <c r="M678" s="3" t="s">
        <v>66</v>
      </c>
      <c r="N678" s="49">
        <v>0</v>
      </c>
      <c r="O678" s="445">
        <v>0</v>
      </c>
      <c r="P678" s="49">
        <v>0</v>
      </c>
      <c r="Q678" s="59">
        <f>IF(Provozování!$BE$16="Neaktivní",0,Provozování!BF50)</f>
        <v>0</v>
      </c>
      <c r="T678" s="12" t="s">
        <v>71</v>
      </c>
      <c r="U678" s="13" t="s">
        <v>68</v>
      </c>
      <c r="V678" s="3" t="s">
        <v>66</v>
      </c>
      <c r="W678" s="445">
        <v>0</v>
      </c>
      <c r="X678" s="445">
        <v>0</v>
      </c>
      <c r="Y678" s="445">
        <v>0</v>
      </c>
      <c r="Z678" s="595">
        <v>0</v>
      </c>
      <c r="AA678" s="49">
        <f>IF(Provozování!$BE$16="Neaktivní",H678,H678*Výpočty!$Q$58+Q678)</f>
        <v>0</v>
      </c>
      <c r="AB678" s="32">
        <f t="shared" si="282"/>
        <v>0</v>
      </c>
      <c r="AC678" s="183"/>
      <c r="AD678" s="183"/>
      <c r="AE678" s="556" t="s">
        <v>402</v>
      </c>
      <c r="AF678" s="556"/>
      <c r="AG678" s="961">
        <f>IF(AG677&gt;0,AG670*AI679*0.5,0)</f>
        <v>0</v>
      </c>
      <c r="AH678" s="961">
        <f ca="1">IF(AH677&gt;0,AH670*AJ679*0.5,0)</f>
        <v>0</v>
      </c>
      <c r="AK678" s="183"/>
      <c r="AL678" s="183"/>
      <c r="AM678" s="183"/>
      <c r="AN678" s="183"/>
    </row>
    <row r="679" spans="2:40" x14ac:dyDescent="0.25">
      <c r="B679" s="12" t="s">
        <v>72</v>
      </c>
      <c r="C679" s="13" t="s">
        <v>73</v>
      </c>
      <c r="D679" s="3" t="s">
        <v>66</v>
      </c>
      <c r="E679" s="49">
        <v>0</v>
      </c>
      <c r="F679" s="445">
        <v>0</v>
      </c>
      <c r="G679" s="49">
        <v>0</v>
      </c>
      <c r="H679" s="32">
        <f>IF(YEAR(Postup!$H$25)&gt;$D$634,Provozování!BD51,IF(AND(DAY(Postup!$H$25)=31,MONTH(Postup!$H$25)=12,YEAR(Postup!$H$25)=$D$634),Provozování!BD51,IF(YEAR(Postup!$H$25)=$D$634,Provozování!$BM51,0)))</f>
        <v>0</v>
      </c>
      <c r="K679" s="12" t="s">
        <v>72</v>
      </c>
      <c r="L679" s="13" t="s">
        <v>73</v>
      </c>
      <c r="M679" s="3" t="s">
        <v>66</v>
      </c>
      <c r="N679" s="49">
        <v>0</v>
      </c>
      <c r="O679" s="445">
        <v>0</v>
      </c>
      <c r="P679" s="49">
        <v>0</v>
      </c>
      <c r="Q679" s="59">
        <f>IF(Provozování!$BE$16="Neaktivní",0,Provozování!BF51)</f>
        <v>0</v>
      </c>
      <c r="T679" s="12" t="s">
        <v>72</v>
      </c>
      <c r="U679" s="13" t="s">
        <v>73</v>
      </c>
      <c r="V679" s="3" t="s">
        <v>66</v>
      </c>
      <c r="W679" s="445">
        <v>0</v>
      </c>
      <c r="X679" s="445">
        <v>0</v>
      </c>
      <c r="Y679" s="445">
        <v>0</v>
      </c>
      <c r="Z679" s="595">
        <v>0</v>
      </c>
      <c r="AA679" s="49">
        <f>IF(Provozování!$BE$16="Neaktivní",H679,H679*Výpočty!$Q$58+Q679)</f>
        <v>0</v>
      </c>
      <c r="AB679" s="32">
        <f t="shared" si="282"/>
        <v>0</v>
      </c>
      <c r="AC679" s="183"/>
      <c r="AD679" s="183"/>
      <c r="AE679" s="557" t="s">
        <v>413</v>
      </c>
      <c r="AF679" s="557"/>
      <c r="AG679" s="962"/>
      <c r="AH679" s="962"/>
      <c r="AI679" s="454">
        <f>IF(AG677&gt;0.05,0.05,AG677)</f>
        <v>0</v>
      </c>
      <c r="AJ679" s="454">
        <f ca="1">IF(AH677&gt;0.05,0.05,AH677)</f>
        <v>0</v>
      </c>
      <c r="AK679" s="183"/>
      <c r="AL679" s="183"/>
      <c r="AM679" s="183"/>
      <c r="AN679" s="183"/>
    </row>
    <row r="680" spans="2:40" x14ac:dyDescent="0.25">
      <c r="B680" s="12" t="s">
        <v>74</v>
      </c>
      <c r="C680" s="13" t="s">
        <v>75</v>
      </c>
      <c r="D680" s="3" t="s">
        <v>66</v>
      </c>
      <c r="E680" s="49">
        <v>0</v>
      </c>
      <c r="F680" s="445">
        <v>0</v>
      </c>
      <c r="G680" s="49">
        <v>0</v>
      </c>
      <c r="H680" s="32">
        <f>IF(YEAR(Postup!$H$25)&gt;$D$634,Provozování!BD52,IF(AND(DAY(Postup!$H$25)=31,MONTH(Postup!$H$25)=12,YEAR(Postup!$H$25)=$D$634),Provozování!BD52,IF(YEAR(Postup!$H$25)=$D$634,Provozování!$BM52,0)))</f>
        <v>0</v>
      </c>
      <c r="K680" s="12" t="s">
        <v>74</v>
      </c>
      <c r="L680" s="13" t="s">
        <v>75</v>
      </c>
      <c r="M680" s="3" t="s">
        <v>66</v>
      </c>
      <c r="N680" s="49">
        <v>0</v>
      </c>
      <c r="O680" s="445">
        <v>0</v>
      </c>
      <c r="P680" s="49">
        <v>0</v>
      </c>
      <c r="Q680" s="59">
        <f>IF(Provozování!$BE$16="Neaktivní",0,Provozování!BF52)</f>
        <v>0</v>
      </c>
      <c r="T680" s="12" t="s">
        <v>74</v>
      </c>
      <c r="U680" s="13" t="s">
        <v>75</v>
      </c>
      <c r="V680" s="3" t="s">
        <v>66</v>
      </c>
      <c r="W680" s="445">
        <v>0</v>
      </c>
      <c r="X680" s="445">
        <v>0</v>
      </c>
      <c r="Y680" s="445">
        <v>0</v>
      </c>
      <c r="Z680" s="595">
        <v>0</v>
      </c>
      <c r="AA680" s="49">
        <f>IF(Provozování!$BE$16="Neaktivní",H680,H680*Výpočty!$Q$58+Q680)</f>
        <v>0</v>
      </c>
      <c r="AB680" s="32">
        <f t="shared" si="282"/>
        <v>0</v>
      </c>
      <c r="AC680" s="183"/>
      <c r="AD680" s="183"/>
      <c r="AE680" s="534" t="s">
        <v>414</v>
      </c>
      <c r="AF680" s="534"/>
      <c r="AG680" s="360">
        <f>IF(AI680&gt;0,AG670*(AI680-0.05)*0.8,0)</f>
        <v>0</v>
      </c>
      <c r="AH680" s="360">
        <f ca="1">IF(AJ680&gt;0,AH670*(AJ680-0.05)*0.8,0)</f>
        <v>0</v>
      </c>
      <c r="AI680" s="454">
        <f>IF(AND(AG677&gt;0.05,AG677&lt;=0.1),AG677,IF(AG677&lt;=0.05,0,0.1))</f>
        <v>0</v>
      </c>
      <c r="AJ680" s="454">
        <f ca="1">IF(AND(AH677&gt;0.05,AH677&lt;=0.1),AH677,IF(AH677&lt;=0.05,0,0.1))</f>
        <v>0</v>
      </c>
      <c r="AK680" s="183"/>
      <c r="AL680" s="183"/>
      <c r="AM680" s="183"/>
      <c r="AN680" s="183"/>
    </row>
    <row r="681" spans="2:40" x14ac:dyDescent="0.25">
      <c r="B681" s="12" t="s">
        <v>76</v>
      </c>
      <c r="C681" s="13" t="s">
        <v>77</v>
      </c>
      <c r="D681" s="3" t="s">
        <v>66</v>
      </c>
      <c r="E681" s="49">
        <v>0</v>
      </c>
      <c r="F681" s="49">
        <f>IF(YEAR(Postup!$H$25)&gt;$D$634,Provozování!BC53,IF(AND(DAY(Postup!$H$25)=31,MONTH(Postup!$H$25)=12,YEAR(Postup!$H$25)=$D$634),Provozování!BC53,IF(YEAR(Postup!$H$25)=$D$634,Provozování!$BL53,0)))</f>
        <v>0</v>
      </c>
      <c r="G681" s="49">
        <v>0</v>
      </c>
      <c r="H681" s="32">
        <f>IF(YEAR(Postup!$H$25)&gt;$D$634,Provozování!BD53,IF(AND(DAY(Postup!$H$25)=31,MONTH(Postup!$H$25)=12,YEAR(Postup!$H$25)=$D$634),Provozování!BD53,IF(YEAR(Postup!$H$25)=$D$634,Provozování!$BM53,0)))</f>
        <v>0</v>
      </c>
      <c r="K681" s="12" t="s">
        <v>76</v>
      </c>
      <c r="L681" s="13" t="s">
        <v>77</v>
      </c>
      <c r="M681" s="3" t="s">
        <v>66</v>
      </c>
      <c r="N681" s="49">
        <v>0</v>
      </c>
      <c r="O681" s="49">
        <f>IF(Provozování!$BE$16="Neaktivní",0,Provozování!BE53)</f>
        <v>0</v>
      </c>
      <c r="P681" s="49">
        <v>0</v>
      </c>
      <c r="Q681" s="59">
        <f>IF(Provozování!$BE$16="Neaktivní",0,Provozování!BF53)</f>
        <v>0</v>
      </c>
      <c r="T681" s="12" t="s">
        <v>76</v>
      </c>
      <c r="U681" s="13" t="s">
        <v>77</v>
      </c>
      <c r="V681" s="3" t="s">
        <v>66</v>
      </c>
      <c r="W681" s="595">
        <v>0</v>
      </c>
      <c r="X681" s="49">
        <f>IF(Provozování!$BE$16="Neaktivní",F681,F681*Výpočty!$Q$58+O681)</f>
        <v>0</v>
      </c>
      <c r="Y681" s="49">
        <f>W681-X681</f>
        <v>0</v>
      </c>
      <c r="Z681" s="595">
        <v>0</v>
      </c>
      <c r="AA681" s="49">
        <f>IF(Provozování!$BE$16="Neaktivní",H681,H681*Výpočty!$Q$58+Q681)</f>
        <v>0</v>
      </c>
      <c r="AB681" s="32">
        <f t="shared" si="282"/>
        <v>0</v>
      </c>
      <c r="AC681" s="183"/>
      <c r="AD681" s="183"/>
      <c r="AE681" s="534" t="s">
        <v>415</v>
      </c>
      <c r="AF681" s="534"/>
      <c r="AG681" s="360">
        <f>IF(AI681&gt;0,AG670*(AI681-0.1)*1,0)</f>
        <v>0</v>
      </c>
      <c r="AH681" s="360">
        <f ca="1">IF(AJ681&gt;0,AH670*(AJ681-0.1)*1,0)</f>
        <v>0</v>
      </c>
      <c r="AI681" s="454">
        <f>IF(AG677&gt;0.1,AG677,0)</f>
        <v>0</v>
      </c>
      <c r="AJ681" s="454">
        <f ca="1">IF(AH677&gt;0.1,AH677,0)</f>
        <v>0</v>
      </c>
      <c r="AK681" s="183"/>
      <c r="AL681" s="183"/>
      <c r="AM681" s="183"/>
      <c r="AN681" s="183"/>
    </row>
    <row r="682" spans="2:40" x14ac:dyDescent="0.25">
      <c r="B682" s="12" t="s">
        <v>78</v>
      </c>
      <c r="C682" s="13" t="s">
        <v>79</v>
      </c>
      <c r="D682" s="3" t="s">
        <v>66</v>
      </c>
      <c r="E682" s="49">
        <v>0</v>
      </c>
      <c r="F682" s="49">
        <f>IF(YEAR(Postup!$H$25)&gt;$D$634,Provozování!BC54,IF(AND(DAY(Postup!$H$25)=31,MONTH(Postup!$H$25)=12,YEAR(Postup!$H$25)=$D$634),Provozování!BC54,IF(YEAR(Postup!$H$25)=$D$634,Provozování!$BL54,0)))</f>
        <v>0</v>
      </c>
      <c r="G682" s="49">
        <v>0</v>
      </c>
      <c r="H682" s="32">
        <f>IF(YEAR(Postup!$H$25)&gt;$D$634,Provozování!BD54,IF(AND(DAY(Postup!$H$25)=31,MONTH(Postup!$H$25)=12,YEAR(Postup!$H$25)=$D$634),Provozování!BD54,IF(YEAR(Postup!$H$25)=$D$634,Provozování!$BM54,0)))</f>
        <v>0</v>
      </c>
      <c r="K682" s="12" t="s">
        <v>78</v>
      </c>
      <c r="L682" s="13" t="s">
        <v>79</v>
      </c>
      <c r="M682" s="3" t="s">
        <v>66</v>
      </c>
      <c r="N682" s="49">
        <v>0</v>
      </c>
      <c r="O682" s="49">
        <f>IF(Provozování!$BE$16="Neaktivní",0,Provozování!BE54)</f>
        <v>0</v>
      </c>
      <c r="P682" s="49">
        <v>0</v>
      </c>
      <c r="Q682" s="32">
        <f>IF(Provozování!$BE$16="Neaktivní",0,Provozování!BF54)</f>
        <v>0</v>
      </c>
      <c r="T682" s="12" t="s">
        <v>78</v>
      </c>
      <c r="U682" s="13" t="s">
        <v>79</v>
      </c>
      <c r="V682" s="3" t="s">
        <v>66</v>
      </c>
      <c r="W682" s="595">
        <v>0</v>
      </c>
      <c r="X682" s="49">
        <f>IF(Provozování!$BE$16="Neaktivní",F682,F682*Výpočty!$Q$58+O682)</f>
        <v>0</v>
      </c>
      <c r="Y682" s="49">
        <f>W682-X682</f>
        <v>0</v>
      </c>
      <c r="Z682" s="595">
        <v>0</v>
      </c>
      <c r="AA682" s="49">
        <f>IF(Provozování!$BE$16="Neaktivní",H682,H682*Výpočty!$Q$58+Q682)</f>
        <v>0</v>
      </c>
      <c r="AB682" s="32">
        <f t="shared" si="282"/>
        <v>0</v>
      </c>
      <c r="AC682" s="183"/>
      <c r="AD682" s="183"/>
      <c r="AE682" s="532" t="s">
        <v>403</v>
      </c>
      <c r="AF682" s="532"/>
      <c r="AG682" s="455">
        <f>SUM(AG678:AG681)</f>
        <v>0</v>
      </c>
      <c r="AH682" s="455">
        <f ca="1">SUM(AH678:AH681)</f>
        <v>0</v>
      </c>
      <c r="AK682" s="183"/>
      <c r="AL682" s="183"/>
      <c r="AM682" s="183"/>
      <c r="AN682" s="183"/>
    </row>
    <row r="683" spans="2:40" x14ac:dyDescent="0.25">
      <c r="B683" s="1"/>
      <c r="C683" s="1"/>
      <c r="D683" s="1"/>
      <c r="E683" s="1"/>
      <c r="F683" s="456"/>
      <c r="G683" s="1"/>
      <c r="H683" s="456"/>
      <c r="K683" s="1"/>
      <c r="L683" s="1"/>
      <c r="M683" s="1"/>
      <c r="N683" s="1"/>
      <c r="O683" s="1"/>
      <c r="P683" s="1"/>
      <c r="Q683" s="1"/>
      <c r="T683" s="1"/>
      <c r="U683" s="1"/>
      <c r="V683" s="1"/>
      <c r="W683" s="1"/>
      <c r="X683" s="1"/>
      <c r="Y683" s="1"/>
      <c r="Z683" s="1"/>
      <c r="AA683" s="1"/>
      <c r="AB683" s="1"/>
      <c r="AC683" s="183"/>
      <c r="AD683" s="183"/>
      <c r="AE683" s="183"/>
      <c r="AF683" s="183"/>
      <c r="AG683" s="183"/>
      <c r="AH683" s="183"/>
      <c r="AI683" s="183"/>
      <c r="AJ683" s="183"/>
      <c r="AK683" s="183"/>
      <c r="AL683" s="183"/>
      <c r="AM683" s="183"/>
      <c r="AN683" s="183"/>
    </row>
    <row r="684" spans="2:40" x14ac:dyDescent="0.25">
      <c r="B684" s="932" t="s">
        <v>5</v>
      </c>
      <c r="C684" s="721" t="s">
        <v>80</v>
      </c>
      <c r="D684" s="722"/>
      <c r="E684" s="723"/>
      <c r="F684" s="724"/>
      <c r="G684" s="722"/>
      <c r="H684" s="725"/>
      <c r="K684" s="932" t="s">
        <v>5</v>
      </c>
      <c r="L684" s="721" t="s">
        <v>80</v>
      </c>
      <c r="M684" s="722"/>
      <c r="N684" s="723"/>
      <c r="O684" s="724"/>
      <c r="P684" s="722"/>
      <c r="Q684" s="725"/>
      <c r="T684" s="771" t="s">
        <v>5</v>
      </c>
      <c r="U684" s="721" t="s">
        <v>80</v>
      </c>
      <c r="V684" s="722"/>
      <c r="W684" s="723"/>
      <c r="X684" s="723"/>
      <c r="Y684" s="724"/>
      <c r="Z684" s="722"/>
      <c r="AA684" s="722"/>
      <c r="AB684" s="725"/>
      <c r="AC684" s="183"/>
      <c r="AD684" s="183"/>
      <c r="AE684" s="183"/>
      <c r="AF684" s="183"/>
      <c r="AG684" s="183"/>
      <c r="AH684" s="183"/>
      <c r="AI684" s="183"/>
      <c r="AJ684" s="183"/>
      <c r="AK684" s="183"/>
      <c r="AL684" s="183"/>
      <c r="AM684" s="183"/>
      <c r="AN684" s="183"/>
    </row>
    <row r="685" spans="2:40" x14ac:dyDescent="0.25">
      <c r="B685" s="930"/>
      <c r="C685" s="932" t="s">
        <v>81</v>
      </c>
      <c r="D685" s="929" t="s">
        <v>173</v>
      </c>
      <c r="E685" s="874" t="s">
        <v>118</v>
      </c>
      <c r="F685" s="937"/>
      <c r="G685" s="26" t="s">
        <v>3</v>
      </c>
      <c r="H685" s="23" t="s">
        <v>4</v>
      </c>
      <c r="K685" s="930"/>
      <c r="L685" s="5" t="s">
        <v>81</v>
      </c>
      <c r="M685" s="929" t="s">
        <v>173</v>
      </c>
      <c r="N685" s="874" t="s">
        <v>118</v>
      </c>
      <c r="O685" s="937"/>
      <c r="P685" s="26" t="s">
        <v>3</v>
      </c>
      <c r="Q685" s="23" t="s">
        <v>4</v>
      </c>
      <c r="T685" s="934"/>
      <c r="U685" s="932" t="s">
        <v>81</v>
      </c>
      <c r="V685" s="929" t="s">
        <v>173</v>
      </c>
      <c r="W685" s="874" t="s">
        <v>118</v>
      </c>
      <c r="X685" s="937"/>
      <c r="Y685" s="874" t="s">
        <v>3</v>
      </c>
      <c r="Z685" s="939"/>
      <c r="AA685" s="940" t="s">
        <v>4</v>
      </c>
      <c r="AB685" s="940"/>
      <c r="AC685" s="183"/>
      <c r="AD685" s="183"/>
      <c r="AE685" s="183"/>
      <c r="AF685" s="183"/>
      <c r="AG685" s="183"/>
      <c r="AH685" s="183"/>
      <c r="AI685" s="183"/>
      <c r="AJ685" s="183"/>
      <c r="AK685" s="183"/>
      <c r="AL685" s="183"/>
      <c r="AM685" s="183"/>
      <c r="AN685" s="183"/>
    </row>
    <row r="686" spans="2:40" x14ac:dyDescent="0.25">
      <c r="B686" s="931"/>
      <c r="C686" s="931"/>
      <c r="D686" s="936"/>
      <c r="E686" s="875"/>
      <c r="F686" s="938"/>
      <c r="G686" s="27" t="s">
        <v>7</v>
      </c>
      <c r="H686" s="24" t="s">
        <v>7</v>
      </c>
      <c r="K686" s="931"/>
      <c r="L686" s="8"/>
      <c r="M686" s="936"/>
      <c r="N686" s="875"/>
      <c r="O686" s="938"/>
      <c r="P686" s="27" t="s">
        <v>7</v>
      </c>
      <c r="Q686" s="24" t="s">
        <v>7</v>
      </c>
      <c r="T686" s="935"/>
      <c r="U686" s="931"/>
      <c r="V686" s="936"/>
      <c r="W686" s="875"/>
      <c r="X686" s="938"/>
      <c r="Y686" s="40" t="s">
        <v>196</v>
      </c>
      <c r="Z686" s="40" t="s">
        <v>7</v>
      </c>
      <c r="AA686" s="40" t="s">
        <v>196</v>
      </c>
      <c r="AB686" s="40" t="s">
        <v>7</v>
      </c>
      <c r="AC686" s="183"/>
      <c r="AD686" s="183"/>
      <c r="AE686" s="183"/>
      <c r="AF686" s="183"/>
      <c r="AG686" s="183"/>
      <c r="AH686" s="183"/>
      <c r="AI686" s="183"/>
      <c r="AJ686" s="183"/>
      <c r="AK686" s="183"/>
      <c r="AL686" s="183"/>
      <c r="AM686" s="183"/>
      <c r="AN686" s="183"/>
    </row>
    <row r="687" spans="2:40" x14ac:dyDescent="0.25">
      <c r="B687" s="11">
        <v>1</v>
      </c>
      <c r="C687" s="11">
        <v>2</v>
      </c>
      <c r="D687" s="11" t="s">
        <v>111</v>
      </c>
      <c r="E687" s="735" t="s">
        <v>115</v>
      </c>
      <c r="F687" s="736"/>
      <c r="G687" s="11" t="s">
        <v>116</v>
      </c>
      <c r="H687" s="22" t="s">
        <v>117</v>
      </c>
      <c r="K687" s="11">
        <v>1</v>
      </c>
      <c r="L687" s="11">
        <v>2</v>
      </c>
      <c r="M687" s="11" t="s">
        <v>111</v>
      </c>
      <c r="N687" s="735" t="s">
        <v>115</v>
      </c>
      <c r="O687" s="736"/>
      <c r="P687" s="11" t="s">
        <v>116</v>
      </c>
      <c r="Q687" s="22" t="s">
        <v>117</v>
      </c>
      <c r="T687" s="11">
        <v>1</v>
      </c>
      <c r="U687" s="11">
        <v>2</v>
      </c>
      <c r="V687" s="11" t="s">
        <v>111</v>
      </c>
      <c r="W687" s="944" t="s">
        <v>115</v>
      </c>
      <c r="X687" s="945"/>
      <c r="Y687" s="11" t="s">
        <v>201</v>
      </c>
      <c r="Z687" s="11" t="s">
        <v>116</v>
      </c>
      <c r="AA687" s="11" t="s">
        <v>200</v>
      </c>
      <c r="AB687" s="22" t="s">
        <v>117</v>
      </c>
      <c r="AC687" s="183"/>
      <c r="AD687" s="183"/>
      <c r="AE687" s="183"/>
      <c r="AF687" s="183"/>
      <c r="AG687" s="183"/>
      <c r="AH687" s="183"/>
      <c r="AI687" s="183"/>
      <c r="AJ687" s="183"/>
      <c r="AK687" s="183"/>
      <c r="AL687" s="183"/>
      <c r="AM687" s="183"/>
      <c r="AN687" s="183"/>
    </row>
    <row r="688" spans="2:40" x14ac:dyDescent="0.25">
      <c r="B688" s="12" t="s">
        <v>82</v>
      </c>
      <c r="C688" s="13" t="s">
        <v>127</v>
      </c>
      <c r="D688" s="13" t="s">
        <v>83</v>
      </c>
      <c r="E688" s="732" t="s">
        <v>120</v>
      </c>
      <c r="F688" s="733"/>
      <c r="G688" s="171">
        <f>IF(G694=0,0,G689/G694)</f>
        <v>0</v>
      </c>
      <c r="H688" s="172">
        <f>IF(H694=0,0,H689/H694)</f>
        <v>0</v>
      </c>
      <c r="K688" s="12" t="s">
        <v>82</v>
      </c>
      <c r="L688" s="13" t="s">
        <v>127</v>
      </c>
      <c r="M688" s="13" t="s">
        <v>83</v>
      </c>
      <c r="N688" s="732" t="s">
        <v>120</v>
      </c>
      <c r="O688" s="733"/>
      <c r="P688" s="171">
        <f>IF(P694=0,0,P689/P694)</f>
        <v>0</v>
      </c>
      <c r="Q688" s="172">
        <f>IF(Q694=0,0,Q689/Q694)</f>
        <v>0</v>
      </c>
      <c r="T688" s="12" t="s">
        <v>82</v>
      </c>
      <c r="U688" s="13" t="s">
        <v>127</v>
      </c>
      <c r="V688" s="13" t="s">
        <v>83</v>
      </c>
      <c r="W688" s="13" t="s">
        <v>120</v>
      </c>
      <c r="X688" s="101"/>
      <c r="Y688" s="171">
        <f t="shared" ref="Y688:AB688" si="283">IF(Y694=0,0,Y689/Y694)</f>
        <v>0</v>
      </c>
      <c r="Z688" s="171">
        <f t="shared" si="283"/>
        <v>0</v>
      </c>
      <c r="AA688" s="171">
        <f t="shared" si="283"/>
        <v>0</v>
      </c>
      <c r="AB688" s="172">
        <f t="shared" si="283"/>
        <v>0</v>
      </c>
      <c r="AC688" s="183"/>
      <c r="AD688" s="183"/>
      <c r="AE688" s="183"/>
      <c r="AF688" s="183"/>
      <c r="AG688" s="183"/>
      <c r="AH688" s="183"/>
      <c r="AI688" s="183"/>
      <c r="AJ688" s="183"/>
      <c r="AK688" s="183"/>
      <c r="AL688" s="183"/>
      <c r="AM688" s="183"/>
      <c r="AN688" s="183"/>
    </row>
    <row r="689" spans="1:40" x14ac:dyDescent="0.25">
      <c r="B689" s="12" t="s">
        <v>84</v>
      </c>
      <c r="C689" s="13" t="s">
        <v>85</v>
      </c>
      <c r="D689" s="13" t="s">
        <v>10</v>
      </c>
      <c r="E689" s="732" t="s">
        <v>121</v>
      </c>
      <c r="F689" s="733"/>
      <c r="G689" s="448">
        <f>F671</f>
        <v>0</v>
      </c>
      <c r="H689" s="449">
        <f>H671</f>
        <v>0</v>
      </c>
      <c r="K689" s="12" t="s">
        <v>84</v>
      </c>
      <c r="L689" s="13" t="s">
        <v>85</v>
      </c>
      <c r="M689" s="13" t="s">
        <v>10</v>
      </c>
      <c r="N689" s="732" t="s">
        <v>121</v>
      </c>
      <c r="O689" s="733"/>
      <c r="P689" s="448">
        <f>O671</f>
        <v>0</v>
      </c>
      <c r="Q689" s="449">
        <f>Q671</f>
        <v>0</v>
      </c>
      <c r="T689" s="12" t="s">
        <v>84</v>
      </c>
      <c r="U689" s="13" t="s">
        <v>85</v>
      </c>
      <c r="V689" s="13" t="s">
        <v>10</v>
      </c>
      <c r="W689" s="13" t="s">
        <v>121</v>
      </c>
      <c r="X689" s="101"/>
      <c r="Y689" s="14">
        <f>W671</f>
        <v>0</v>
      </c>
      <c r="Z689" s="14">
        <f>X671</f>
        <v>0</v>
      </c>
      <c r="AA689" s="14">
        <f>Z671</f>
        <v>0</v>
      </c>
      <c r="AB689" s="15">
        <f>AA671</f>
        <v>0</v>
      </c>
      <c r="AC689" s="183"/>
      <c r="AD689" s="183"/>
      <c r="AE689" s="183"/>
      <c r="AF689" s="183"/>
      <c r="AG689" s="183"/>
      <c r="AH689" s="183"/>
      <c r="AI689" s="183"/>
      <c r="AJ689" s="183"/>
      <c r="AK689" s="183"/>
      <c r="AL689" s="183"/>
      <c r="AM689" s="183"/>
      <c r="AN689" s="183"/>
    </row>
    <row r="690" spans="1:40" x14ac:dyDescent="0.25">
      <c r="B690" s="12" t="s">
        <v>86</v>
      </c>
      <c r="C690" s="13" t="s">
        <v>87</v>
      </c>
      <c r="D690" s="13" t="s">
        <v>10</v>
      </c>
      <c r="E690" s="732"/>
      <c r="F690" s="733"/>
      <c r="G690" s="448">
        <f>IF(YEAR(Postup!$H$25)&gt;$D634,Provozování!BC$85,IF(AND(DAY(Postup!$H$25)=31,MONTH(Postup!$H$25)=12,YEAR(Postup!$H$25)=$D634),Provozování!BC$85,IF(YEAR(Postup!$H$25)=$D634,Provozování!$BL$85,0)))</f>
        <v>0</v>
      </c>
      <c r="H690" s="449">
        <f>IF(YEAR(Postup!$H$25)&gt;$D634,Provozování!BD$85,IF(AND(DAY(Postup!$H$25)=31,MONTH(Postup!$H$25)=12,YEAR(Postup!$H$25)=$D634),Provozování!BD$85,IF(YEAR(Postup!$H$25)=$D634,Provozování!$BM$85,0)))</f>
        <v>0</v>
      </c>
      <c r="K690" s="12" t="s">
        <v>86</v>
      </c>
      <c r="L690" s="13" t="s">
        <v>87</v>
      </c>
      <c r="M690" s="13" t="s">
        <v>10</v>
      </c>
      <c r="N690" s="732"/>
      <c r="O690" s="733"/>
      <c r="P690" s="448">
        <f>IF(Provozování!$BE$16="Neaktivní",0,Provozování!BE$85)</f>
        <v>0</v>
      </c>
      <c r="Q690" s="449">
        <f>IF(Provozování!BE$16="Neaktivní",0,Provozování!BF$85)</f>
        <v>0</v>
      </c>
      <c r="T690" s="12" t="s">
        <v>86</v>
      </c>
      <c r="U690" s="13" t="s">
        <v>87</v>
      </c>
      <c r="V690" s="13" t="s">
        <v>10</v>
      </c>
      <c r="W690" s="13"/>
      <c r="X690" s="101"/>
      <c r="Y690" s="595">
        <v>0</v>
      </c>
      <c r="Z690" s="14">
        <f>IF(Provozování!$BE$16="Neaktivní",G690,G690*Výpočty!$Q$58+P690)</f>
        <v>0</v>
      </c>
      <c r="AA690" s="595">
        <v>0</v>
      </c>
      <c r="AB690" s="15">
        <f>IF(Provozování!$BE$16="Neaktivní",H690,H690*Výpočty!$Q$58+Q690)</f>
        <v>0</v>
      </c>
      <c r="AC690" s="183"/>
      <c r="AD690" s="183"/>
      <c r="AE690" s="183"/>
      <c r="AF690" s="183"/>
      <c r="AG690" s="183"/>
      <c r="AH690" s="183"/>
      <c r="AI690" s="183"/>
      <c r="AJ690" s="183"/>
      <c r="AK690" s="183"/>
      <c r="AL690" s="183"/>
      <c r="AM690" s="183"/>
      <c r="AN690" s="183"/>
    </row>
    <row r="691" spans="1:40" x14ac:dyDescent="0.25">
      <c r="B691" s="12" t="s">
        <v>88</v>
      </c>
      <c r="C691" s="21" t="s">
        <v>89</v>
      </c>
      <c r="D691" s="13" t="s">
        <v>90</v>
      </c>
      <c r="E691" s="732" t="s">
        <v>123</v>
      </c>
      <c r="F691" s="733"/>
      <c r="G691" s="171">
        <f>IF(G689=0,0,G690/G689*100)</f>
        <v>0</v>
      </c>
      <c r="H691" s="172">
        <f>IF(H689=0,0,H690/H689*100)</f>
        <v>0</v>
      </c>
      <c r="K691" s="12" t="s">
        <v>88</v>
      </c>
      <c r="L691" s="21" t="s">
        <v>89</v>
      </c>
      <c r="M691" s="13" t="s">
        <v>90</v>
      </c>
      <c r="N691" s="732" t="s">
        <v>123</v>
      </c>
      <c r="O691" s="733"/>
      <c r="P691" s="171">
        <f>IF(P689=0,0,P690/P689*100)</f>
        <v>0</v>
      </c>
      <c r="Q691" s="172">
        <f>IF(Q689=0,0,Q690/Q689*100)</f>
        <v>0</v>
      </c>
      <c r="T691" s="12" t="s">
        <v>88</v>
      </c>
      <c r="U691" s="21" t="s">
        <v>89</v>
      </c>
      <c r="V691" s="13" t="s">
        <v>90</v>
      </c>
      <c r="W691" s="13" t="s">
        <v>123</v>
      </c>
      <c r="X691" s="101"/>
      <c r="Y691" s="171">
        <f t="shared" ref="Y691:AB691" si="284">IF(Y689=0,0,Y690/Y689*100)</f>
        <v>0</v>
      </c>
      <c r="Z691" s="171">
        <f t="shared" si="284"/>
        <v>0</v>
      </c>
      <c r="AA691" s="171">
        <f t="shared" si="284"/>
        <v>0</v>
      </c>
      <c r="AB691" s="172">
        <f t="shared" si="284"/>
        <v>0</v>
      </c>
      <c r="AC691" s="183"/>
      <c r="AD691" s="183"/>
      <c r="AE691" s="183"/>
      <c r="AF691" s="183"/>
      <c r="AG691" s="183"/>
      <c r="AH691" s="183"/>
      <c r="AI691" s="183"/>
      <c r="AJ691" s="183"/>
      <c r="AK691" s="183"/>
      <c r="AL691" s="183"/>
      <c r="AM691" s="183"/>
      <c r="AN691" s="183"/>
    </row>
    <row r="692" spans="1:40" x14ac:dyDescent="0.25">
      <c r="B692" s="12" t="s">
        <v>91</v>
      </c>
      <c r="C692" s="21" t="s">
        <v>92</v>
      </c>
      <c r="D692" s="13" t="s">
        <v>10</v>
      </c>
      <c r="E692" s="732"/>
      <c r="F692" s="733"/>
      <c r="G692" s="411">
        <v>0</v>
      </c>
      <c r="H692" s="136">
        <v>0</v>
      </c>
      <c r="K692" s="12" t="s">
        <v>91</v>
      </c>
      <c r="L692" s="21" t="s">
        <v>92</v>
      </c>
      <c r="M692" s="13" t="s">
        <v>10</v>
      </c>
      <c r="N692" s="732"/>
      <c r="O692" s="733"/>
      <c r="P692" s="411">
        <v>0</v>
      </c>
      <c r="Q692" s="136">
        <v>0</v>
      </c>
      <c r="T692" s="12" t="s">
        <v>91</v>
      </c>
      <c r="U692" s="21" t="s">
        <v>92</v>
      </c>
      <c r="V692" s="13" t="s">
        <v>10</v>
      </c>
      <c r="W692" s="13"/>
      <c r="X692" s="101"/>
      <c r="Y692" s="445">
        <v>0</v>
      </c>
      <c r="Z692" s="445">
        <v>0</v>
      </c>
      <c r="AA692" s="445">
        <v>0</v>
      </c>
      <c r="AB692" s="442">
        <v>0</v>
      </c>
      <c r="AC692" s="183"/>
      <c r="AD692" s="183"/>
      <c r="AE692" s="183"/>
      <c r="AF692" s="183"/>
      <c r="AG692" s="183"/>
      <c r="AH692" s="183"/>
      <c r="AI692" s="183"/>
      <c r="AJ692" s="183"/>
      <c r="AK692" s="183"/>
      <c r="AL692" s="183"/>
      <c r="AM692" s="183"/>
      <c r="AN692" s="183"/>
    </row>
    <row r="693" spans="1:40" x14ac:dyDescent="0.25">
      <c r="B693" s="12" t="s">
        <v>93</v>
      </c>
      <c r="C693" s="13" t="s">
        <v>94</v>
      </c>
      <c r="D693" s="13" t="s">
        <v>10</v>
      </c>
      <c r="E693" s="732" t="s">
        <v>122</v>
      </c>
      <c r="F693" s="733"/>
      <c r="G693" s="448">
        <f>G689+G690</f>
        <v>0</v>
      </c>
      <c r="H693" s="449">
        <f>H689+H690</f>
        <v>0</v>
      </c>
      <c r="K693" s="12" t="s">
        <v>93</v>
      </c>
      <c r="L693" s="13" t="s">
        <v>94</v>
      </c>
      <c r="M693" s="13" t="s">
        <v>10</v>
      </c>
      <c r="N693" s="732" t="s">
        <v>122</v>
      </c>
      <c r="O693" s="733"/>
      <c r="P693" s="448">
        <f>P689+P690</f>
        <v>0</v>
      </c>
      <c r="Q693" s="449">
        <f>Q689+Q690</f>
        <v>0</v>
      </c>
      <c r="T693" s="12" t="s">
        <v>93</v>
      </c>
      <c r="U693" s="13" t="s">
        <v>94</v>
      </c>
      <c r="V693" s="13" t="s">
        <v>10</v>
      </c>
      <c r="W693" s="13" t="s">
        <v>122</v>
      </c>
      <c r="X693" s="101"/>
      <c r="Y693" s="448">
        <f t="shared" ref="Y693:AB693" si="285">Y689+Y690</f>
        <v>0</v>
      </c>
      <c r="Z693" s="448">
        <f t="shared" si="285"/>
        <v>0</v>
      </c>
      <c r="AA693" s="448">
        <f t="shared" si="285"/>
        <v>0</v>
      </c>
      <c r="AB693" s="449">
        <f t="shared" si="285"/>
        <v>0</v>
      </c>
      <c r="AC693" s="183"/>
      <c r="AD693" s="183"/>
      <c r="AE693" s="183"/>
      <c r="AF693" s="183"/>
      <c r="AG693" s="183"/>
      <c r="AH693" s="183"/>
      <c r="AI693" s="183"/>
      <c r="AJ693" s="183"/>
      <c r="AK693" s="183"/>
      <c r="AL693" s="183"/>
      <c r="AM693" s="183"/>
      <c r="AN693" s="183"/>
    </row>
    <row r="694" spans="1:40" x14ac:dyDescent="0.25">
      <c r="B694" s="12" t="s">
        <v>95</v>
      </c>
      <c r="C694" s="13" t="s">
        <v>96</v>
      </c>
      <c r="D694" s="13" t="s">
        <v>66</v>
      </c>
      <c r="E694" s="732" t="s">
        <v>124</v>
      </c>
      <c r="F694" s="733"/>
      <c r="G694" s="448">
        <f>F675</f>
        <v>0</v>
      </c>
      <c r="H694" s="449">
        <f>H677+H679</f>
        <v>0</v>
      </c>
      <c r="K694" s="12" t="s">
        <v>95</v>
      </c>
      <c r="L694" s="13" t="s">
        <v>96</v>
      </c>
      <c r="M694" s="13" t="s">
        <v>66</v>
      </c>
      <c r="N694" s="732" t="s">
        <v>124</v>
      </c>
      <c r="O694" s="733"/>
      <c r="P694" s="448">
        <f>O675</f>
        <v>0</v>
      </c>
      <c r="Q694" s="449">
        <f>Q677+Q679</f>
        <v>0</v>
      </c>
      <c r="T694" s="12" t="s">
        <v>95</v>
      </c>
      <c r="U694" s="13" t="s">
        <v>96</v>
      </c>
      <c r="V694" s="13" t="s">
        <v>66</v>
      </c>
      <c r="W694" s="13" t="s">
        <v>124</v>
      </c>
      <c r="X694" s="101"/>
      <c r="Y694" s="14">
        <f>W675</f>
        <v>0</v>
      </c>
      <c r="Z694" s="14">
        <f>X675</f>
        <v>0</v>
      </c>
      <c r="AA694" s="14">
        <f>Z677+Z679</f>
        <v>0</v>
      </c>
      <c r="AB694" s="15">
        <f>AA677+AA679</f>
        <v>0</v>
      </c>
      <c r="AC694" s="183"/>
      <c r="AD694" s="183"/>
      <c r="AE694" s="183"/>
      <c r="AF694" s="183"/>
      <c r="AG694" s="183"/>
      <c r="AH694" s="183"/>
      <c r="AI694" s="183"/>
      <c r="AJ694" s="183"/>
      <c r="AK694" s="183"/>
      <c r="AL694" s="183"/>
      <c r="AM694" s="183"/>
      <c r="AN694" s="183"/>
    </row>
    <row r="695" spans="1:40" x14ac:dyDescent="0.25">
      <c r="B695" s="12" t="s">
        <v>97</v>
      </c>
      <c r="C695" s="13" t="s">
        <v>98</v>
      </c>
      <c r="D695" s="13" t="s">
        <v>83</v>
      </c>
      <c r="E695" s="732" t="s">
        <v>125</v>
      </c>
      <c r="F695" s="733"/>
      <c r="G695" s="171">
        <f>IF(G694=0,0,G693/G694)</f>
        <v>0</v>
      </c>
      <c r="H695" s="172">
        <f>IF(H694=0,0,H693/H694)</f>
        <v>0</v>
      </c>
      <c r="K695" s="12" t="s">
        <v>97</v>
      </c>
      <c r="L695" s="13" t="s">
        <v>98</v>
      </c>
      <c r="M695" s="13" t="s">
        <v>83</v>
      </c>
      <c r="N695" s="732" t="s">
        <v>125</v>
      </c>
      <c r="O695" s="733"/>
      <c r="P695" s="171">
        <f>IF(P694=0,0,P693/P694)</f>
        <v>0</v>
      </c>
      <c r="Q695" s="172">
        <f>IF(Q694=0,0,Q693/Q694)</f>
        <v>0</v>
      </c>
      <c r="T695" s="12" t="s">
        <v>97</v>
      </c>
      <c r="U695" s="13" t="s">
        <v>98</v>
      </c>
      <c r="V695" s="13" t="s">
        <v>83</v>
      </c>
      <c r="W695" s="13" t="s">
        <v>125</v>
      </c>
      <c r="X695" s="101"/>
      <c r="Y695" s="171">
        <f t="shared" ref="Y695:AB695" si="286">IF(Y694=0,0,Y693/Y694)</f>
        <v>0</v>
      </c>
      <c r="Z695" s="171">
        <f t="shared" si="286"/>
        <v>0</v>
      </c>
      <c r="AA695" s="171">
        <f t="shared" si="286"/>
        <v>0</v>
      </c>
      <c r="AB695" s="172">
        <f t="shared" si="286"/>
        <v>0</v>
      </c>
      <c r="AC695" s="183"/>
      <c r="AD695" s="183"/>
      <c r="AE695" s="183"/>
      <c r="AF695" s="183"/>
      <c r="AG695" s="183"/>
      <c r="AH695" s="183"/>
      <c r="AI695" s="183"/>
      <c r="AJ695" s="183"/>
      <c r="AK695" s="183"/>
      <c r="AL695" s="183"/>
      <c r="AM695" s="183"/>
      <c r="AN695" s="183"/>
    </row>
    <row r="696" spans="1:40" x14ac:dyDescent="0.25">
      <c r="B696" s="12" t="s">
        <v>99</v>
      </c>
      <c r="C696" s="13" t="str">
        <f>CONCATENATE("CENA pro vodné, stočné + ",Provozování!BC$93*100,"% DPH")</f>
        <v>CENA pro vodné, stočné + 15% DPH</v>
      </c>
      <c r="D696" s="13" t="s">
        <v>83</v>
      </c>
      <c r="E696" s="732" t="s">
        <v>126</v>
      </c>
      <c r="F696" s="733"/>
      <c r="G696" s="171">
        <f>G695*(1+Provozování!BC$93)</f>
        <v>0</v>
      </c>
      <c r="H696" s="172">
        <f>H695*(1+Provozování!BD$93)</f>
        <v>0</v>
      </c>
      <c r="K696" s="12" t="s">
        <v>99</v>
      </c>
      <c r="L696" s="13" t="str">
        <f>C696</f>
        <v>CENA pro vodné, stočné + 15% DPH</v>
      </c>
      <c r="M696" s="13" t="s">
        <v>83</v>
      </c>
      <c r="N696" s="732" t="s">
        <v>126</v>
      </c>
      <c r="O696" s="733"/>
      <c r="P696" s="171">
        <f>P695*(1+Provozování!BE$93)</f>
        <v>0</v>
      </c>
      <c r="Q696" s="172">
        <f>Q695*(1+Provozování!BF$93)</f>
        <v>0</v>
      </c>
      <c r="T696" s="12" t="s">
        <v>99</v>
      </c>
      <c r="U696" s="13" t="str">
        <f>C696</f>
        <v>CENA pro vodné, stočné + 15% DPH</v>
      </c>
      <c r="V696" s="13" t="s">
        <v>83</v>
      </c>
      <c r="W696" s="13" t="s">
        <v>126</v>
      </c>
      <c r="X696" s="101"/>
      <c r="Y696" s="171">
        <f>Y695*(1+Provozování!BC$93)</f>
        <v>0</v>
      </c>
      <c r="Z696" s="171">
        <f>Z695*(1+Provozování!BC$93)</f>
        <v>0</v>
      </c>
      <c r="AA696" s="171">
        <f>AA695*(1+Provozování!BD$93)</f>
        <v>0</v>
      </c>
      <c r="AB696" s="172">
        <f>AB695*(1+Provozování!BD$93)</f>
        <v>0</v>
      </c>
      <c r="AC696" s="183"/>
      <c r="AD696" s="183"/>
      <c r="AE696" s="183"/>
      <c r="AF696" s="183"/>
      <c r="AG696" s="183"/>
      <c r="AH696" s="183"/>
      <c r="AI696" s="183"/>
      <c r="AJ696" s="183"/>
      <c r="AK696" s="183"/>
      <c r="AL696" s="183"/>
      <c r="AM696" s="183"/>
      <c r="AN696" s="183"/>
    </row>
    <row r="697" spans="1:40" x14ac:dyDescent="0.25">
      <c r="T697" s="916" t="s">
        <v>203</v>
      </c>
      <c r="U697" s="916" t="s">
        <v>202</v>
      </c>
      <c r="V697" s="744" t="s">
        <v>10</v>
      </c>
      <c r="W697" s="919" t="s">
        <v>204</v>
      </c>
      <c r="X697" s="732"/>
      <c r="Y697" s="102" t="s">
        <v>206</v>
      </c>
      <c r="Z697" s="105" t="s">
        <v>207</v>
      </c>
      <c r="AA697" s="102" t="s">
        <v>206</v>
      </c>
      <c r="AB697" s="105" t="s">
        <v>207</v>
      </c>
      <c r="AC697" s="183"/>
      <c r="AD697" s="183"/>
      <c r="AE697" s="183"/>
      <c r="AF697" s="183"/>
      <c r="AG697" s="183"/>
      <c r="AH697" s="183"/>
      <c r="AI697" s="183"/>
      <c r="AJ697" s="183"/>
      <c r="AK697" s="183"/>
      <c r="AL697" s="183"/>
      <c r="AM697" s="183"/>
      <c r="AN697" s="183"/>
    </row>
    <row r="698" spans="1:40" x14ac:dyDescent="0.25">
      <c r="B698" s="500" t="s">
        <v>354</v>
      </c>
      <c r="T698" s="917"/>
      <c r="U698" s="917"/>
      <c r="V698" s="745"/>
      <c r="W698" s="920">
        <v>0</v>
      </c>
      <c r="X698" s="921"/>
      <c r="Y698" s="103">
        <f>W634</f>
        <v>2029</v>
      </c>
      <c r="Z698" s="103">
        <f>W634</f>
        <v>2029</v>
      </c>
      <c r="AA698" s="103">
        <f>W634</f>
        <v>2029</v>
      </c>
      <c r="AB698" s="103">
        <f>W634</f>
        <v>2029</v>
      </c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</row>
    <row r="699" spans="1:40" x14ac:dyDescent="0.25">
      <c r="B699" s="500" t="s">
        <v>355</v>
      </c>
      <c r="T699" s="917"/>
      <c r="U699" s="917"/>
      <c r="V699" s="745"/>
      <c r="W699" s="919" t="s">
        <v>205</v>
      </c>
      <c r="X699" s="732"/>
      <c r="Y699" s="104" t="s">
        <v>208</v>
      </c>
      <c r="Z699" s="104" t="s">
        <v>208</v>
      </c>
      <c r="AA699" s="104" t="s">
        <v>209</v>
      </c>
      <c r="AB699" s="104" t="s">
        <v>209</v>
      </c>
      <c r="AC699" s="183"/>
      <c r="AD699" s="183"/>
      <c r="AE699" s="183"/>
      <c r="AF699" s="183"/>
      <c r="AG699" s="183"/>
      <c r="AH699" s="183"/>
      <c r="AI699" s="183"/>
      <c r="AJ699" s="183"/>
      <c r="AK699" s="183"/>
      <c r="AL699" s="183"/>
      <c r="AM699" s="183"/>
      <c r="AN699" s="183"/>
    </row>
    <row r="700" spans="1:40" x14ac:dyDescent="0.25">
      <c r="T700" s="918"/>
      <c r="U700" s="918"/>
      <c r="V700" s="746"/>
      <c r="W700" s="922">
        <v>0</v>
      </c>
      <c r="X700" s="920"/>
      <c r="Y700" s="597">
        <v>0</v>
      </c>
      <c r="Z700" s="597">
        <v>0</v>
      </c>
      <c r="AA700" s="597">
        <v>0</v>
      </c>
      <c r="AB700" s="597">
        <v>0</v>
      </c>
      <c r="AC700" s="183"/>
      <c r="AD700" s="183"/>
      <c r="AE700" s="183"/>
      <c r="AF700" s="183"/>
      <c r="AG700" s="183"/>
      <c r="AH700" s="183"/>
      <c r="AI700" s="183"/>
      <c r="AJ700" s="183"/>
      <c r="AK700" s="183"/>
      <c r="AL700" s="183"/>
      <c r="AM700" s="183"/>
      <c r="AN700" s="183"/>
    </row>
    <row r="701" spans="1:40" x14ac:dyDescent="0.25">
      <c r="A701" s="342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AC701" s="183"/>
      <c r="AD701" s="183"/>
      <c r="AE701" s="183"/>
      <c r="AF701" s="183"/>
      <c r="AG701" s="183"/>
      <c r="AH701" s="183"/>
      <c r="AI701" s="183"/>
      <c r="AJ701" s="183"/>
      <c r="AK701" s="183"/>
      <c r="AL701" s="183"/>
      <c r="AM701" s="183"/>
      <c r="AN701" s="183"/>
    </row>
    <row r="702" spans="1:40" x14ac:dyDescent="0.25">
      <c r="B702" s="726" t="s">
        <v>393</v>
      </c>
      <c r="C702" s="727"/>
      <c r="D702" s="727"/>
      <c r="E702" s="727"/>
      <c r="F702" s="727"/>
      <c r="G702" s="727"/>
      <c r="H702" s="727"/>
      <c r="K702" s="726" t="s">
        <v>394</v>
      </c>
      <c r="L702" s="727"/>
      <c r="M702" s="727"/>
      <c r="N702" s="727"/>
      <c r="O702" s="727"/>
      <c r="P702" s="727"/>
      <c r="Q702" s="727"/>
      <c r="T702" s="726" t="s">
        <v>210</v>
      </c>
      <c r="U702" s="727"/>
      <c r="V702" s="727"/>
      <c r="W702" s="727"/>
      <c r="X702" s="727"/>
      <c r="Y702" s="727"/>
      <c r="Z702" s="727"/>
      <c r="AA702" s="727"/>
      <c r="AB702" s="727"/>
      <c r="AC702" s="183"/>
      <c r="AD702" s="183"/>
      <c r="AE702" s="183"/>
      <c r="AF702" s="183"/>
      <c r="AG702" s="183"/>
      <c r="AH702" s="183"/>
      <c r="AI702" s="183"/>
      <c r="AJ702" s="183"/>
      <c r="AK702" s="183"/>
      <c r="AL702" s="183"/>
      <c r="AM702" s="183"/>
      <c r="AN702" s="183"/>
    </row>
    <row r="703" spans="1:40" x14ac:dyDescent="0.25">
      <c r="C703" s="362"/>
      <c r="E703" s="25"/>
      <c r="F703" s="25"/>
      <c r="L703" s="25"/>
      <c r="N703" s="25"/>
      <c r="T703" s="950" t="s">
        <v>395</v>
      </c>
      <c r="U703" s="950"/>
      <c r="V703" s="950"/>
      <c r="W703" s="950"/>
      <c r="X703" s="950"/>
      <c r="Y703" s="950"/>
      <c r="Z703" s="950"/>
      <c r="AA703" s="950"/>
      <c r="AB703" s="950"/>
      <c r="AC703" s="183"/>
      <c r="AD703" s="183"/>
      <c r="AE703" s="183"/>
      <c r="AF703" s="183"/>
      <c r="AG703" s="183"/>
      <c r="AH703" s="183"/>
      <c r="AI703" s="183"/>
      <c r="AJ703" s="183"/>
      <c r="AK703" s="183"/>
      <c r="AL703" s="183"/>
      <c r="AM703" s="183"/>
      <c r="AN703" s="183"/>
    </row>
    <row r="704" spans="1:40" x14ac:dyDescent="0.25">
      <c r="C704" s="362" t="s">
        <v>119</v>
      </c>
      <c r="D704" s="364">
        <f>D634+1</f>
        <v>2030</v>
      </c>
      <c r="E704" s="25"/>
      <c r="F704" s="362" t="s">
        <v>278</v>
      </c>
      <c r="G704" s="365" t="str">
        <f>Výpočty!R$56</f>
        <v>-</v>
      </c>
      <c r="H704" s="365" t="str">
        <f>IF(Výpočty!R$57="-"," ",CONCATENATE("- ",DAY(Výpočty!R$57),".",MONTH(Výpočty!R$57),".",D704))</f>
        <v xml:space="preserve"> </v>
      </c>
      <c r="L704" s="362" t="s">
        <v>119</v>
      </c>
      <c r="M704" s="364">
        <f>D704</f>
        <v>2030</v>
      </c>
      <c r="O704" s="362" t="s">
        <v>278</v>
      </c>
      <c r="P704" s="475" t="str">
        <f>Výpočty!R$52</f>
        <v>-</v>
      </c>
      <c r="Q704" s="475" t="str">
        <f>IF(P704="-"," ",H704)</f>
        <v xml:space="preserve"> </v>
      </c>
      <c r="T704" s="441"/>
      <c r="U704" s="441"/>
      <c r="V704" s="451" t="s">
        <v>195</v>
      </c>
      <c r="W704" s="364">
        <f>D704</f>
        <v>2030</v>
      </c>
      <c r="Z704" s="362" t="s">
        <v>278</v>
      </c>
      <c r="AA704" s="365" t="str">
        <f>G704</f>
        <v>-</v>
      </c>
      <c r="AB704" s="365" t="str">
        <f>H704</f>
        <v xml:space="preserve"> </v>
      </c>
      <c r="AC704" s="183"/>
      <c r="AD704" s="183"/>
      <c r="AE704" s="183"/>
      <c r="AF704" s="183"/>
      <c r="AG704" s="183"/>
      <c r="AH704" s="183"/>
      <c r="AI704" s="183"/>
      <c r="AJ704" s="183"/>
      <c r="AK704" s="183"/>
      <c r="AL704" s="183"/>
      <c r="AM704" s="183"/>
      <c r="AN704" s="183"/>
    </row>
    <row r="705" spans="2:40" x14ac:dyDescent="0.25">
      <c r="B705" s="13" t="s">
        <v>74</v>
      </c>
      <c r="C705" s="13" t="s">
        <v>105</v>
      </c>
      <c r="D705" s="715" t="str">
        <f t="shared" ref="D705:D710" si="287">D635</f>
        <v/>
      </c>
      <c r="E705" s="716"/>
      <c r="F705" s="716"/>
      <c r="G705" s="716"/>
      <c r="H705" s="717"/>
      <c r="K705" s="13" t="s">
        <v>74</v>
      </c>
      <c r="L705" s="13" t="s">
        <v>105</v>
      </c>
      <c r="M705" s="949" t="str">
        <f t="shared" ref="M705:M707" si="288">D705</f>
        <v/>
      </c>
      <c r="N705" s="738"/>
      <c r="O705" s="738"/>
      <c r="P705" s="738"/>
      <c r="Q705" s="738"/>
      <c r="T705" s="13" t="s">
        <v>74</v>
      </c>
      <c r="U705" s="13" t="s">
        <v>105</v>
      </c>
      <c r="V705" s="949" t="str">
        <f t="shared" ref="V705:V707" si="289">D705</f>
        <v/>
      </c>
      <c r="W705" s="738"/>
      <c r="X705" s="738"/>
      <c r="Y705" s="738"/>
      <c r="Z705" s="738"/>
      <c r="AA705" s="738"/>
      <c r="AB705" s="738"/>
      <c r="AC705" s="183"/>
      <c r="AD705" s="183"/>
      <c r="AK705" s="183"/>
      <c r="AL705" s="183"/>
      <c r="AM705" s="183"/>
      <c r="AN705" s="183"/>
    </row>
    <row r="706" spans="2:40" x14ac:dyDescent="0.25">
      <c r="B706" s="13" t="s">
        <v>100</v>
      </c>
      <c r="C706" s="13" t="s">
        <v>106</v>
      </c>
      <c r="D706" s="715" t="str">
        <f t="shared" si="287"/>
        <v/>
      </c>
      <c r="E706" s="716"/>
      <c r="F706" s="716"/>
      <c r="G706" s="716"/>
      <c r="H706" s="717"/>
      <c r="K706" s="13" t="s">
        <v>100</v>
      </c>
      <c r="L706" s="13" t="s">
        <v>106</v>
      </c>
      <c r="M706" s="941" t="str">
        <f t="shared" si="288"/>
        <v/>
      </c>
      <c r="N706" s="942"/>
      <c r="O706" s="942"/>
      <c r="P706" s="942"/>
      <c r="Q706" s="943"/>
      <c r="T706" s="13" t="s">
        <v>100</v>
      </c>
      <c r="U706" s="13" t="s">
        <v>106</v>
      </c>
      <c r="V706" s="941" t="str">
        <f t="shared" si="289"/>
        <v/>
      </c>
      <c r="W706" s="942"/>
      <c r="X706" s="942"/>
      <c r="Y706" s="942"/>
      <c r="Z706" s="942"/>
      <c r="AA706" s="942"/>
      <c r="AB706" s="943"/>
      <c r="AC706" s="183"/>
      <c r="AD706" s="183"/>
      <c r="AK706" s="183"/>
      <c r="AL706" s="183"/>
      <c r="AM706" s="183"/>
      <c r="AN706" s="183"/>
    </row>
    <row r="707" spans="2:40" x14ac:dyDescent="0.25">
      <c r="B707" s="13" t="s">
        <v>101</v>
      </c>
      <c r="C707" s="13" t="s">
        <v>107</v>
      </c>
      <c r="D707" s="715" t="str">
        <f t="shared" si="287"/>
        <v xml:space="preserve">Město Kraslice, IČ </v>
      </c>
      <c r="E707" s="716"/>
      <c r="F707" s="716"/>
      <c r="G707" s="716"/>
      <c r="H707" s="717"/>
      <c r="K707" s="13" t="s">
        <v>101</v>
      </c>
      <c r="L707" s="13" t="s">
        <v>107</v>
      </c>
      <c r="M707" s="941" t="str">
        <f t="shared" si="288"/>
        <v xml:space="preserve">Město Kraslice, IČ </v>
      </c>
      <c r="N707" s="942"/>
      <c r="O707" s="942"/>
      <c r="P707" s="942"/>
      <c r="Q707" s="943"/>
      <c r="T707" s="13" t="s">
        <v>101</v>
      </c>
      <c r="U707" s="13" t="s">
        <v>107</v>
      </c>
      <c r="V707" s="941" t="str">
        <f t="shared" si="289"/>
        <v xml:space="preserve">Město Kraslice, IČ </v>
      </c>
      <c r="W707" s="942"/>
      <c r="X707" s="942"/>
      <c r="Y707" s="942"/>
      <c r="Z707" s="942"/>
      <c r="AA707" s="942"/>
      <c r="AB707" s="943"/>
      <c r="AC707" s="183"/>
      <c r="AD707" s="183"/>
      <c r="AK707" s="183"/>
      <c r="AL707" s="183"/>
      <c r="AM707" s="183"/>
      <c r="AN707" s="183"/>
    </row>
    <row r="708" spans="2:40" x14ac:dyDescent="0.25">
      <c r="B708" s="13" t="s">
        <v>102</v>
      </c>
      <c r="C708" s="13" t="s">
        <v>109</v>
      </c>
      <c r="D708" s="923" t="str">
        <f t="shared" si="287"/>
        <v>[vyplnit]</v>
      </c>
      <c r="E708" s="924"/>
      <c r="F708" s="924"/>
      <c r="G708" s="924"/>
      <c r="H708" s="925"/>
      <c r="K708" s="13" t="s">
        <v>102</v>
      </c>
      <c r="L708" s="13" t="s">
        <v>109</v>
      </c>
      <c r="M708" s="926" t="str">
        <f>IF($D708="[vyplnit]"," ",$D708)</f>
        <v xml:space="preserve"> </v>
      </c>
      <c r="N708" s="927"/>
      <c r="O708" s="927"/>
      <c r="P708" s="927"/>
      <c r="Q708" s="928"/>
      <c r="T708" s="13" t="s">
        <v>102</v>
      </c>
      <c r="U708" s="13" t="s">
        <v>109</v>
      </c>
      <c r="V708" s="933" t="str">
        <f>IF($D708="[vyplnit]"," ",$D708)</f>
        <v xml:space="preserve"> </v>
      </c>
      <c r="W708" s="933"/>
      <c r="X708" s="933"/>
      <c r="Y708" s="933"/>
      <c r="Z708" s="933"/>
      <c r="AA708" s="933"/>
      <c r="AB708" s="933"/>
      <c r="AC708" s="183"/>
      <c r="AD708" s="183"/>
      <c r="AK708" s="183"/>
      <c r="AL708" s="183"/>
      <c r="AM708" s="183"/>
      <c r="AN708" s="183"/>
    </row>
    <row r="709" spans="2:40" x14ac:dyDescent="0.25">
      <c r="B709" s="13" t="s">
        <v>103</v>
      </c>
      <c r="C709" s="13" t="s">
        <v>108</v>
      </c>
      <c r="D709" s="923" t="str">
        <f t="shared" si="287"/>
        <v>[vyplnit]</v>
      </c>
      <c r="E709" s="924"/>
      <c r="F709" s="924"/>
      <c r="G709" s="924"/>
      <c r="H709" s="925"/>
      <c r="K709" s="13" t="s">
        <v>103</v>
      </c>
      <c r="L709" s="13" t="s">
        <v>108</v>
      </c>
      <c r="M709" s="926" t="str">
        <f t="shared" ref="M709:M710" si="290">IF($D709="[vyplnit]"," ",$D709)</f>
        <v xml:space="preserve"> </v>
      </c>
      <c r="N709" s="927"/>
      <c r="O709" s="927"/>
      <c r="P709" s="927"/>
      <c r="Q709" s="928"/>
      <c r="T709" s="13" t="s">
        <v>103</v>
      </c>
      <c r="U709" s="13" t="s">
        <v>108</v>
      </c>
      <c r="V709" s="933" t="str">
        <f t="shared" ref="V709:V710" si="291">IF($D709="[vyplnit]"," ",$D709)</f>
        <v xml:space="preserve"> </v>
      </c>
      <c r="W709" s="933"/>
      <c r="X709" s="933"/>
      <c r="Y709" s="933"/>
      <c r="Z709" s="933"/>
      <c r="AA709" s="933"/>
      <c r="AB709" s="933"/>
      <c r="AC709" s="183"/>
      <c r="AD709" s="183"/>
      <c r="AK709" s="183"/>
      <c r="AL709" s="183"/>
      <c r="AM709" s="183"/>
      <c r="AN709" s="183"/>
    </row>
    <row r="710" spans="2:40" x14ac:dyDescent="0.25">
      <c r="B710" s="13" t="s">
        <v>104</v>
      </c>
      <c r="C710" s="13" t="s">
        <v>110</v>
      </c>
      <c r="D710" s="923" t="str">
        <f t="shared" si="287"/>
        <v>[vyplnit]</v>
      </c>
      <c r="E710" s="924"/>
      <c r="F710" s="924"/>
      <c r="G710" s="924"/>
      <c r="H710" s="925"/>
      <c r="K710" s="13" t="s">
        <v>104</v>
      </c>
      <c r="L710" s="13" t="s">
        <v>110</v>
      </c>
      <c r="M710" s="926" t="str">
        <f t="shared" si="290"/>
        <v xml:space="preserve"> </v>
      </c>
      <c r="N710" s="927"/>
      <c r="O710" s="927"/>
      <c r="P710" s="927"/>
      <c r="Q710" s="928"/>
      <c r="T710" s="13" t="s">
        <v>104</v>
      </c>
      <c r="U710" s="13" t="s">
        <v>110</v>
      </c>
      <c r="V710" s="933" t="str">
        <f t="shared" si="291"/>
        <v xml:space="preserve"> </v>
      </c>
      <c r="W710" s="933"/>
      <c r="X710" s="933"/>
      <c r="Y710" s="933"/>
      <c r="Z710" s="933"/>
      <c r="AA710" s="933"/>
      <c r="AB710" s="933"/>
      <c r="AC710" s="183"/>
      <c r="AD710" s="183"/>
      <c r="AK710" s="183"/>
      <c r="AL710" s="183"/>
      <c r="AM710" s="183"/>
      <c r="AN710" s="183"/>
    </row>
    <row r="711" spans="2:40" x14ac:dyDescent="0.25">
      <c r="AC711" s="183"/>
      <c r="AK711" s="183"/>
      <c r="AL711" s="183"/>
      <c r="AM711" s="183"/>
      <c r="AN711" s="183"/>
    </row>
    <row r="712" spans="2:40" x14ac:dyDescent="0.25">
      <c r="B712" s="932" t="s">
        <v>5</v>
      </c>
      <c r="C712" s="721" t="s">
        <v>0</v>
      </c>
      <c r="D712" s="722"/>
      <c r="E712" s="722"/>
      <c r="F712" s="722"/>
      <c r="G712" s="722"/>
      <c r="H712" s="725"/>
      <c r="K712" s="932" t="s">
        <v>5</v>
      </c>
      <c r="L712" s="721" t="s">
        <v>0</v>
      </c>
      <c r="M712" s="722"/>
      <c r="N712" s="722"/>
      <c r="O712" s="722"/>
      <c r="P712" s="722"/>
      <c r="Q712" s="725"/>
      <c r="T712" s="932" t="s">
        <v>5</v>
      </c>
      <c r="U712" s="721" t="s">
        <v>0</v>
      </c>
      <c r="V712" s="722"/>
      <c r="W712" s="722"/>
      <c r="X712" s="722"/>
      <c r="Y712" s="722"/>
      <c r="Z712" s="722"/>
      <c r="AA712" s="722"/>
      <c r="AB712" s="725"/>
      <c r="AC712" s="183"/>
      <c r="AK712" s="183"/>
      <c r="AL712" s="183"/>
      <c r="AM712" s="183"/>
      <c r="AN712" s="183"/>
    </row>
    <row r="713" spans="2:40" x14ac:dyDescent="0.25">
      <c r="B713" s="930"/>
      <c r="C713" s="932" t="s">
        <v>1</v>
      </c>
      <c r="D713" s="929" t="s">
        <v>173</v>
      </c>
      <c r="E713" s="721" t="s">
        <v>3</v>
      </c>
      <c r="F713" s="722"/>
      <c r="G713" s="721" t="s">
        <v>4</v>
      </c>
      <c r="H713" s="725"/>
      <c r="K713" s="930"/>
      <c r="L713" s="932" t="s">
        <v>1</v>
      </c>
      <c r="M713" s="929" t="s">
        <v>173</v>
      </c>
      <c r="N713" s="721" t="s">
        <v>3</v>
      </c>
      <c r="O713" s="722"/>
      <c r="P713" s="721" t="s">
        <v>4</v>
      </c>
      <c r="Q713" s="725"/>
      <c r="T713" s="930"/>
      <c r="U713" s="932" t="s">
        <v>1</v>
      </c>
      <c r="V713" s="929" t="s">
        <v>173</v>
      </c>
      <c r="W713" s="721" t="s">
        <v>3</v>
      </c>
      <c r="X713" s="722"/>
      <c r="Y713" s="722"/>
      <c r="Z713" s="721" t="s">
        <v>4</v>
      </c>
      <c r="AA713" s="722"/>
      <c r="AB713" s="725"/>
      <c r="AC713" s="183"/>
      <c r="AK713" s="183"/>
      <c r="AL713" s="183"/>
      <c r="AM713" s="183"/>
      <c r="AN713" s="183"/>
    </row>
    <row r="714" spans="2:40" x14ac:dyDescent="0.25">
      <c r="B714" s="930"/>
      <c r="C714" s="930"/>
      <c r="D714" s="930"/>
      <c r="E714" s="30">
        <f>D704-1</f>
        <v>2029</v>
      </c>
      <c r="F714" s="30">
        <f>D704</f>
        <v>2030</v>
      </c>
      <c r="G714" s="30">
        <f>D704-1</f>
        <v>2029</v>
      </c>
      <c r="H714" s="30">
        <f>D704</f>
        <v>2030</v>
      </c>
      <c r="K714" s="930"/>
      <c r="L714" s="930"/>
      <c r="M714" s="930"/>
      <c r="N714" s="30">
        <f>M704-1</f>
        <v>2029</v>
      </c>
      <c r="O714" s="30">
        <f>M704</f>
        <v>2030</v>
      </c>
      <c r="P714" s="30">
        <f>M704-1</f>
        <v>2029</v>
      </c>
      <c r="Q714" s="30">
        <f>M704</f>
        <v>2030</v>
      </c>
      <c r="T714" s="930"/>
      <c r="U714" s="930"/>
      <c r="V714" s="930"/>
      <c r="W714" s="30">
        <f>W704</f>
        <v>2030</v>
      </c>
      <c r="X714" s="30">
        <f>W704</f>
        <v>2030</v>
      </c>
      <c r="Y714" s="30">
        <f>W704</f>
        <v>2030</v>
      </c>
      <c r="Z714" s="30">
        <f>W704</f>
        <v>2030</v>
      </c>
      <c r="AA714" s="30">
        <f>W704</f>
        <v>2030</v>
      </c>
      <c r="AB714" s="30">
        <f>W704</f>
        <v>2030</v>
      </c>
      <c r="AC714" s="183"/>
      <c r="AK714" s="183"/>
      <c r="AL714" s="183"/>
      <c r="AM714" s="183"/>
      <c r="AN714" s="183"/>
    </row>
    <row r="715" spans="2:40" x14ac:dyDescent="0.25">
      <c r="B715" s="931"/>
      <c r="C715" s="931"/>
      <c r="D715" s="931"/>
      <c r="E715" s="7" t="s">
        <v>199</v>
      </c>
      <c r="F715" s="7" t="s">
        <v>114</v>
      </c>
      <c r="G715" s="7" t="s">
        <v>199</v>
      </c>
      <c r="H715" s="19" t="s">
        <v>114</v>
      </c>
      <c r="K715" s="931"/>
      <c r="L715" s="931"/>
      <c r="M715" s="931"/>
      <c r="N715" s="7" t="s">
        <v>199</v>
      </c>
      <c r="O715" s="7" t="s">
        <v>114</v>
      </c>
      <c r="P715" s="7" t="s">
        <v>199</v>
      </c>
      <c r="Q715" s="19" t="s">
        <v>114</v>
      </c>
      <c r="T715" s="931"/>
      <c r="U715" s="931"/>
      <c r="V715" s="931"/>
      <c r="W715" s="7" t="s">
        <v>198</v>
      </c>
      <c r="X715" s="7" t="s">
        <v>114</v>
      </c>
      <c r="Y715" s="7" t="s">
        <v>197</v>
      </c>
      <c r="Z715" s="7" t="s">
        <v>198</v>
      </c>
      <c r="AA715" s="7" t="s">
        <v>114</v>
      </c>
      <c r="AB715" s="19" t="s">
        <v>197</v>
      </c>
      <c r="AC715" s="183"/>
      <c r="AK715" s="183"/>
      <c r="AL715" s="183"/>
      <c r="AM715" s="183"/>
      <c r="AN715" s="183"/>
    </row>
    <row r="716" spans="2:40" x14ac:dyDescent="0.25">
      <c r="B716" s="11">
        <v>1</v>
      </c>
      <c r="C716" s="11">
        <v>2</v>
      </c>
      <c r="D716" s="11" t="s">
        <v>111</v>
      </c>
      <c r="E716" s="11">
        <v>3</v>
      </c>
      <c r="F716" s="11">
        <v>4</v>
      </c>
      <c r="G716" s="11">
        <v>6</v>
      </c>
      <c r="H716" s="22">
        <v>7</v>
      </c>
      <c r="K716" s="11">
        <v>1</v>
      </c>
      <c r="L716" s="11">
        <v>2</v>
      </c>
      <c r="M716" s="11" t="s">
        <v>111</v>
      </c>
      <c r="N716" s="11">
        <v>3</v>
      </c>
      <c r="O716" s="11">
        <v>4</v>
      </c>
      <c r="P716" s="11">
        <v>6</v>
      </c>
      <c r="Q716" s="22">
        <v>7</v>
      </c>
      <c r="T716" s="11">
        <v>1</v>
      </c>
      <c r="U716" s="11">
        <v>2</v>
      </c>
      <c r="V716" s="11" t="s">
        <v>111</v>
      </c>
      <c r="W716" s="11">
        <v>3</v>
      </c>
      <c r="X716" s="11">
        <v>4</v>
      </c>
      <c r="Y716" s="11">
        <v>5</v>
      </c>
      <c r="Z716" s="11">
        <v>6</v>
      </c>
      <c r="AA716" s="11">
        <v>7</v>
      </c>
      <c r="AB716" s="22">
        <v>8</v>
      </c>
      <c r="AC716" s="183"/>
      <c r="AK716" s="183"/>
      <c r="AL716" s="183"/>
      <c r="AM716" s="183"/>
      <c r="AN716" s="183"/>
    </row>
    <row r="717" spans="2:40" x14ac:dyDescent="0.25">
      <c r="B717" s="9" t="s">
        <v>8</v>
      </c>
      <c r="C717" s="10" t="s">
        <v>9</v>
      </c>
      <c r="D717" s="11" t="s">
        <v>10</v>
      </c>
      <c r="E717" s="46">
        <f>SUM(E718:E721)</f>
        <v>0</v>
      </c>
      <c r="F717" s="46">
        <f>SUM(F718:F721)</f>
        <v>0</v>
      </c>
      <c r="G717" s="46">
        <f>SUM(G718:G721)</f>
        <v>0</v>
      </c>
      <c r="H717" s="98">
        <f>SUM(H718:H721)</f>
        <v>0</v>
      </c>
      <c r="K717" s="9" t="s">
        <v>8</v>
      </c>
      <c r="L717" s="10" t="s">
        <v>9</v>
      </c>
      <c r="M717" s="11" t="s">
        <v>10</v>
      </c>
      <c r="N717" s="46">
        <f>SUM(N718:N721)</f>
        <v>0</v>
      </c>
      <c r="O717" s="46">
        <f>SUM(O718:O721)</f>
        <v>0</v>
      </c>
      <c r="P717" s="46">
        <f>SUM(P718:P721)</f>
        <v>0</v>
      </c>
      <c r="Q717" s="98">
        <f>SUM(Q718:Q721)</f>
        <v>0</v>
      </c>
      <c r="T717" s="9" t="s">
        <v>8</v>
      </c>
      <c r="U717" s="10" t="s">
        <v>9</v>
      </c>
      <c r="V717" s="11" t="s">
        <v>10</v>
      </c>
      <c r="W717" s="98">
        <f t="shared" ref="W717:AB717" si="292">SUM(W718:W721)</f>
        <v>0</v>
      </c>
      <c r="X717" s="98">
        <f t="shared" si="292"/>
        <v>0</v>
      </c>
      <c r="Y717" s="98">
        <f t="shared" si="292"/>
        <v>0</v>
      </c>
      <c r="Z717" s="98">
        <f t="shared" si="292"/>
        <v>0</v>
      </c>
      <c r="AA717" s="98">
        <f t="shared" si="292"/>
        <v>0</v>
      </c>
      <c r="AB717" s="98">
        <f t="shared" si="292"/>
        <v>0</v>
      </c>
      <c r="AC717" s="183"/>
      <c r="AK717" s="183"/>
      <c r="AL717" s="183"/>
      <c r="AM717" s="183"/>
      <c r="AN717" s="183"/>
    </row>
    <row r="718" spans="2:40" x14ac:dyDescent="0.25">
      <c r="B718" s="12" t="s">
        <v>11</v>
      </c>
      <c r="C718" s="13" t="s">
        <v>12</v>
      </c>
      <c r="D718" s="3" t="s">
        <v>10</v>
      </c>
      <c r="E718" s="49">
        <v>0</v>
      </c>
      <c r="F718" s="49">
        <f>IF(YEAR(Postup!$H$25)&gt;$D$704,Provozování!BH23,IF(AND(DAY(Postup!$H$25)=31,MONTH(Postup!$H$25)=12,YEAR(Postup!$H$25)=$D$704),Provozování!BH23,IF(YEAR(Postup!$H$25)=$D$704,Provozování!$BL23,0)))</f>
        <v>0</v>
      </c>
      <c r="G718" s="49">
        <v>0</v>
      </c>
      <c r="H718" s="442">
        <v>0</v>
      </c>
      <c r="K718" s="12" t="s">
        <v>11</v>
      </c>
      <c r="L718" s="13" t="s">
        <v>12</v>
      </c>
      <c r="M718" s="3" t="s">
        <v>10</v>
      </c>
      <c r="N718" s="49">
        <v>0</v>
      </c>
      <c r="O718" s="49">
        <f>IF(Provozování!$BJ$16="Neaktivní",0,Provozování!BJ23)</f>
        <v>0</v>
      </c>
      <c r="P718" s="49">
        <v>0</v>
      </c>
      <c r="Q718" s="442">
        <v>0</v>
      </c>
      <c r="T718" s="12" t="s">
        <v>11</v>
      </c>
      <c r="U718" s="13" t="s">
        <v>12</v>
      </c>
      <c r="V718" s="3" t="s">
        <v>10</v>
      </c>
      <c r="W718" s="595">
        <v>0</v>
      </c>
      <c r="X718" s="49">
        <f>IF(Provozování!$BJ$16="Neaktivní",F718,F718*Výpočty!$R$58+O718)</f>
        <v>0</v>
      </c>
      <c r="Y718" s="49">
        <f>W718-X718</f>
        <v>0</v>
      </c>
      <c r="Z718" s="445">
        <v>0</v>
      </c>
      <c r="AA718" s="445">
        <v>0</v>
      </c>
      <c r="AB718" s="442">
        <v>0</v>
      </c>
      <c r="AC718" s="183"/>
      <c r="AK718" s="183"/>
      <c r="AL718" s="183"/>
      <c r="AM718" s="183"/>
      <c r="AN718" s="183"/>
    </row>
    <row r="719" spans="2:40" x14ac:dyDescent="0.25">
      <c r="B719" s="12" t="s">
        <v>13</v>
      </c>
      <c r="C719" s="12" t="s">
        <v>14</v>
      </c>
      <c r="D719" s="3" t="s">
        <v>10</v>
      </c>
      <c r="E719" s="58">
        <v>0</v>
      </c>
      <c r="F719" s="49">
        <f>IF(YEAR(Postup!$H$25)&gt;$D$704,Provozování!BH24,IF(AND(DAY(Postup!$H$25)=31,MONTH(Postup!$H$25)=12,YEAR(Postup!$H$25)=$D$704),Provozování!BH24,IF(YEAR(Postup!$H$25)=$D$704,Provozování!$BL24,0)))</f>
        <v>0</v>
      </c>
      <c r="G719" s="58">
        <v>0</v>
      </c>
      <c r="H719" s="32">
        <f>IF(YEAR(Postup!$H$25)&gt;$D$704,Provozování!BI24,IF(AND(DAY(Postup!$H$25)=31,MONTH(Postup!$H$25)=12,YEAR(Postup!$H$25)=$D$704),Provozování!BI24,IF(YEAR(Postup!$H$25)=$D$704,Provozování!$BM24,0)))</f>
        <v>0</v>
      </c>
      <c r="K719" s="12" t="s">
        <v>13</v>
      </c>
      <c r="L719" s="12" t="s">
        <v>14</v>
      </c>
      <c r="M719" s="3" t="s">
        <v>10</v>
      </c>
      <c r="N719" s="58">
        <v>0</v>
      </c>
      <c r="O719" s="49">
        <f>IF(Provozování!$BJ$16="Neaktivní",0,Provozování!BJ24)</f>
        <v>0</v>
      </c>
      <c r="P719" s="58">
        <v>0</v>
      </c>
      <c r="Q719" s="59">
        <f>IF(Provozování!$BJ$16="Neaktivní",0,Provozování!BK24)</f>
        <v>0</v>
      </c>
      <c r="T719" s="12" t="s">
        <v>13</v>
      </c>
      <c r="U719" s="12" t="s">
        <v>14</v>
      </c>
      <c r="V719" s="3" t="s">
        <v>10</v>
      </c>
      <c r="W719" s="596">
        <v>0</v>
      </c>
      <c r="X719" s="49">
        <f>IF(Provozování!$BJ$16="Neaktivní",F719,F719*Výpočty!$R$58+O719)</f>
        <v>0</v>
      </c>
      <c r="Y719" s="49">
        <f t="shared" ref="Y719:Y721" si="293">W719-X719</f>
        <v>0</v>
      </c>
      <c r="Z719" s="596">
        <v>0</v>
      </c>
      <c r="AA719" s="49">
        <f>IF(Provozování!$BJ$16="Neaktivní",H719,H719*Výpočty!$R$58+Q719)</f>
        <v>0</v>
      </c>
      <c r="AB719" s="32">
        <f t="shared" ref="AB719:AB721" si="294">Z719-AA719</f>
        <v>0</v>
      </c>
      <c r="AC719" s="183"/>
      <c r="AK719" s="183"/>
      <c r="AL719" s="183"/>
      <c r="AM719" s="183"/>
      <c r="AN719" s="183"/>
    </row>
    <row r="720" spans="2:40" x14ac:dyDescent="0.25">
      <c r="B720" s="12" t="s">
        <v>15</v>
      </c>
      <c r="C720" s="13" t="s">
        <v>16</v>
      </c>
      <c r="D720" s="3" t="s">
        <v>10</v>
      </c>
      <c r="E720" s="32">
        <v>0</v>
      </c>
      <c r="F720" s="590">
        <f>IF(YEAR(Postup!$H$25)&gt;$D$704,Provozování!BH25,IF(AND(DAY(Postup!$H$25)=31,MONTH(Postup!$H$25)=12,YEAR(Postup!$H$25)=$D$704),Provozování!BH25,IF(YEAR(Postup!$H$25)=$D$704,Provozování!$BL25,0)))</f>
        <v>0</v>
      </c>
      <c r="G720" s="32">
        <v>0</v>
      </c>
      <c r="H720" s="590">
        <f>IF(YEAR(Postup!$H$25)&gt;$D$704,Provozování!BI25,IF(AND(DAY(Postup!$H$25)=31,MONTH(Postup!$H$25)=12,YEAR(Postup!$H$25)=$D$704),Provozování!BI25,IF(YEAR(Postup!$H$25)=$D$704,Provozování!$BM25,0)))</f>
        <v>0</v>
      </c>
      <c r="K720" s="12" t="s">
        <v>15</v>
      </c>
      <c r="L720" s="13" t="s">
        <v>16</v>
      </c>
      <c r="M720" s="3" t="s">
        <v>10</v>
      </c>
      <c r="N720" s="32">
        <v>0</v>
      </c>
      <c r="O720" s="443">
        <f>IF(Provozování!$BJ$16="Neaktivní",0,Provozování!BJ25)</f>
        <v>0</v>
      </c>
      <c r="P720" s="32">
        <v>0</v>
      </c>
      <c r="Q720" s="443">
        <f>IF(Provozování!$BJ$16="Neaktivní",0,Provozování!BK25)</f>
        <v>0</v>
      </c>
      <c r="T720" s="12" t="s">
        <v>15</v>
      </c>
      <c r="U720" s="13" t="s">
        <v>16</v>
      </c>
      <c r="V720" s="3" t="s">
        <v>10</v>
      </c>
      <c r="W720" s="597">
        <v>0</v>
      </c>
      <c r="X720" s="49">
        <f>IF(Provozování!$BJ$16="Neaktivní",F720,F720*Výpočty!$R$58+O720)</f>
        <v>0</v>
      </c>
      <c r="Y720" s="49">
        <f t="shared" si="293"/>
        <v>0</v>
      </c>
      <c r="Z720" s="597">
        <v>0</v>
      </c>
      <c r="AA720" s="49">
        <f>IF(Provozování!$BJ$16="Neaktivní",H720,H720*Výpočty!$R$58+Q720)</f>
        <v>0</v>
      </c>
      <c r="AB720" s="32">
        <f t="shared" si="294"/>
        <v>0</v>
      </c>
      <c r="AC720" s="183"/>
      <c r="AK720" s="183"/>
      <c r="AL720" s="183"/>
      <c r="AM720" s="183"/>
      <c r="AN720" s="183"/>
    </row>
    <row r="721" spans="2:40" x14ac:dyDescent="0.25">
      <c r="B721" s="12" t="s">
        <v>17</v>
      </c>
      <c r="C721" s="13" t="s">
        <v>18</v>
      </c>
      <c r="D721" s="3" t="s">
        <v>10</v>
      </c>
      <c r="E721" s="99">
        <v>0</v>
      </c>
      <c r="F721" s="590">
        <f>IF(YEAR(Postup!$H$25)&gt;$D$704,Provozování!BH26,IF(AND(DAY(Postup!$H$25)=31,MONTH(Postup!$H$25)=12,YEAR(Postup!$H$25)=$D$704),Provozování!BH26,IF(YEAR(Postup!$H$25)=$D$704,Provozování!$BL26,0)))</f>
        <v>0</v>
      </c>
      <c r="G721" s="99">
        <v>0</v>
      </c>
      <c r="H721" s="590">
        <f>IF(YEAR(Postup!$H$25)&gt;$D$704,Provozování!BI26,IF(AND(DAY(Postup!$H$25)=31,MONTH(Postup!$H$25)=12,YEAR(Postup!$H$25)=$D$704),Provozování!BI26,IF(YEAR(Postup!$H$25)=$D$704,Provozování!$BM26,0)))</f>
        <v>0</v>
      </c>
      <c r="K721" s="12" t="s">
        <v>17</v>
      </c>
      <c r="L721" s="13" t="s">
        <v>18</v>
      </c>
      <c r="M721" s="3" t="s">
        <v>10</v>
      </c>
      <c r="N721" s="99">
        <v>0</v>
      </c>
      <c r="O721" s="443">
        <f>IF(Provozování!$BJ$16="Neaktivní",0,Provozování!BJ26)</f>
        <v>0</v>
      </c>
      <c r="P721" s="99">
        <v>0</v>
      </c>
      <c r="Q721" s="443">
        <f>IF(Provozování!$BJ$16="Neaktivní",0,Provozování!BK26)</f>
        <v>0</v>
      </c>
      <c r="T721" s="12" t="s">
        <v>17</v>
      </c>
      <c r="U721" s="13" t="s">
        <v>18</v>
      </c>
      <c r="V721" s="3" t="s">
        <v>10</v>
      </c>
      <c r="W721" s="598">
        <v>0</v>
      </c>
      <c r="X721" s="49">
        <f>IF(Provozování!$BJ$16="Neaktivní",F721,F721*Výpočty!$R$58+O721)</f>
        <v>0</v>
      </c>
      <c r="Y721" s="49">
        <f t="shared" si="293"/>
        <v>0</v>
      </c>
      <c r="Z721" s="598">
        <v>0</v>
      </c>
      <c r="AA721" s="49">
        <f>IF(Provozování!$BJ$16="Neaktivní",H721,H721*Výpočty!$R$58+Q721)</f>
        <v>0</v>
      </c>
      <c r="AB721" s="32">
        <f t="shared" si="294"/>
        <v>0</v>
      </c>
      <c r="AC721" s="183"/>
      <c r="AK721" s="183"/>
      <c r="AL721" s="183"/>
      <c r="AM721" s="183"/>
      <c r="AN721" s="183"/>
    </row>
    <row r="722" spans="2:40" x14ac:dyDescent="0.25">
      <c r="B722" s="9" t="s">
        <v>19</v>
      </c>
      <c r="C722" s="10" t="s">
        <v>20</v>
      </c>
      <c r="D722" s="11" t="s">
        <v>10</v>
      </c>
      <c r="E722" s="100">
        <f>SUM(E723:E724)</f>
        <v>0</v>
      </c>
      <c r="F722" s="100">
        <f>SUM(F723:F724)</f>
        <v>0</v>
      </c>
      <c r="G722" s="100">
        <f>SUM(G723:G724)</f>
        <v>0</v>
      </c>
      <c r="H722" s="98">
        <f>SUM(H723:H724)</f>
        <v>0</v>
      </c>
      <c r="K722" s="9" t="s">
        <v>19</v>
      </c>
      <c r="L722" s="10" t="s">
        <v>20</v>
      </c>
      <c r="M722" s="11" t="s">
        <v>10</v>
      </c>
      <c r="N722" s="100">
        <f>SUM(N723:N724)</f>
        <v>0</v>
      </c>
      <c r="O722" s="100">
        <f>SUM(O723:O724)</f>
        <v>0</v>
      </c>
      <c r="P722" s="100">
        <f>SUM(P723:P724)</f>
        <v>0</v>
      </c>
      <c r="Q722" s="98">
        <f>SUM(Q723:Q724)</f>
        <v>0</v>
      </c>
      <c r="T722" s="9" t="s">
        <v>19</v>
      </c>
      <c r="U722" s="10" t="s">
        <v>20</v>
      </c>
      <c r="V722" s="11" t="s">
        <v>10</v>
      </c>
      <c r="W722" s="98">
        <f t="shared" ref="W722:AB722" si="295">SUM(W723:W724)</f>
        <v>0</v>
      </c>
      <c r="X722" s="98">
        <f t="shared" si="295"/>
        <v>0</v>
      </c>
      <c r="Y722" s="98">
        <f t="shared" si="295"/>
        <v>0</v>
      </c>
      <c r="Z722" s="98">
        <f t="shared" si="295"/>
        <v>0</v>
      </c>
      <c r="AA722" s="98">
        <f t="shared" si="295"/>
        <v>0</v>
      </c>
      <c r="AB722" s="98">
        <f t="shared" si="295"/>
        <v>0</v>
      </c>
      <c r="AC722" s="183"/>
      <c r="AK722" s="183"/>
      <c r="AL722" s="183"/>
      <c r="AM722" s="183"/>
      <c r="AN722" s="183"/>
    </row>
    <row r="723" spans="2:40" x14ac:dyDescent="0.25">
      <c r="B723" s="12" t="s">
        <v>21</v>
      </c>
      <c r="C723" s="12" t="s">
        <v>22</v>
      </c>
      <c r="D723" s="3" t="s">
        <v>10</v>
      </c>
      <c r="E723" s="32">
        <v>0</v>
      </c>
      <c r="F723" s="590">
        <f>IF(YEAR(Postup!$H$25)&gt;$D$704,Provozování!BH28,IF(AND(DAY(Postup!$H$25)=31,MONTH(Postup!$H$25)=12,YEAR(Postup!$H$25)=$D$704),Provozování!BH28,IF(YEAR(Postup!$H$25)=$D$704,Provozování!$BL28,0)))</f>
        <v>0</v>
      </c>
      <c r="G723" s="32">
        <v>0</v>
      </c>
      <c r="H723" s="590">
        <f>IF(YEAR(Postup!$H$25)&gt;$D$704,Provozování!BI28,IF(AND(DAY(Postup!$H$25)=31,MONTH(Postup!$H$25)=12,YEAR(Postup!$H$25)=$D$704),Provozování!BI28,IF(YEAR(Postup!$H$25)=$D$704,Provozování!$BM28,0)))</f>
        <v>0</v>
      </c>
      <c r="K723" s="12" t="s">
        <v>21</v>
      </c>
      <c r="L723" s="12" t="s">
        <v>22</v>
      </c>
      <c r="M723" s="3" t="s">
        <v>10</v>
      </c>
      <c r="N723" s="32">
        <v>0</v>
      </c>
      <c r="O723" s="443">
        <f>IF(Provozování!$BJ$16="Neaktivní",0,Provozování!BJ28)</f>
        <v>0</v>
      </c>
      <c r="P723" s="32">
        <v>0</v>
      </c>
      <c r="Q723" s="443">
        <f>IF(Provozování!$BJ$16="Neaktivní",0,Provozování!BK28)</f>
        <v>0</v>
      </c>
      <c r="T723" s="12" t="s">
        <v>21</v>
      </c>
      <c r="U723" s="12" t="s">
        <v>22</v>
      </c>
      <c r="V723" s="3" t="s">
        <v>10</v>
      </c>
      <c r="W723" s="595">
        <v>0</v>
      </c>
      <c r="X723" s="49">
        <f>IF(Provozování!$BJ$16="Neaktivní",F723,F723*Výpočty!$R$58+O723)</f>
        <v>0</v>
      </c>
      <c r="Y723" s="49">
        <f t="shared" ref="Y723:Y724" si="296">W723-X723</f>
        <v>0</v>
      </c>
      <c r="Z723" s="597">
        <v>0</v>
      </c>
      <c r="AA723" s="49">
        <f>IF(Provozování!$BJ$16="Neaktivní",H723,H723*Výpočty!$R$58+Q723)</f>
        <v>0</v>
      </c>
      <c r="AB723" s="32">
        <f t="shared" ref="AB723:AB724" si="297">Z723-AA723</f>
        <v>0</v>
      </c>
      <c r="AC723" s="183"/>
      <c r="AK723" s="183"/>
      <c r="AL723" s="183"/>
      <c r="AM723" s="183"/>
      <c r="AN723" s="183"/>
    </row>
    <row r="724" spans="2:40" x14ac:dyDescent="0.25">
      <c r="B724" s="12" t="s">
        <v>23</v>
      </c>
      <c r="C724" s="12" t="s">
        <v>24</v>
      </c>
      <c r="D724" s="3" t="s">
        <v>10</v>
      </c>
      <c r="E724" s="99">
        <v>0</v>
      </c>
      <c r="F724" s="590">
        <f>IF(YEAR(Postup!$H$25)&gt;$D$704,Provozování!BH29,IF(AND(DAY(Postup!$H$25)=31,MONTH(Postup!$H$25)=12,YEAR(Postup!$H$25)=$D$704),Provozování!BH29,IF(YEAR(Postup!$H$25)=$D$704,Provozování!$BL29,0)))</f>
        <v>0</v>
      </c>
      <c r="G724" s="99">
        <v>0</v>
      </c>
      <c r="H724" s="590">
        <f>IF(YEAR(Postup!$H$25)&gt;$D$704,Provozování!BI29,IF(AND(DAY(Postup!$H$25)=31,MONTH(Postup!$H$25)=12,YEAR(Postup!$H$25)=$D$704),Provozování!BI29,IF(YEAR(Postup!$H$25)=$D$704,Provozování!$BM29,0)))</f>
        <v>0</v>
      </c>
      <c r="K724" s="12" t="s">
        <v>23</v>
      </c>
      <c r="L724" s="12" t="s">
        <v>24</v>
      </c>
      <c r="M724" s="3" t="s">
        <v>10</v>
      </c>
      <c r="N724" s="99">
        <v>0</v>
      </c>
      <c r="O724" s="443">
        <f>IF(Provozování!$BJ$16="Neaktivní",0,Provozování!BJ29)</f>
        <v>0</v>
      </c>
      <c r="P724" s="99">
        <v>0</v>
      </c>
      <c r="Q724" s="443">
        <f>IF(Provozování!$BJ$16="Neaktivní",0,Provozování!BK29)</f>
        <v>0</v>
      </c>
      <c r="T724" s="12" t="s">
        <v>23</v>
      </c>
      <c r="U724" s="12" t="s">
        <v>24</v>
      </c>
      <c r="V724" s="3" t="s">
        <v>10</v>
      </c>
      <c r="W724" s="596">
        <v>0</v>
      </c>
      <c r="X724" s="49">
        <f>IF(Provozování!$BJ$16="Neaktivní",F724,F724*Výpočty!$R$58+O724)</f>
        <v>0</v>
      </c>
      <c r="Y724" s="49">
        <f t="shared" si="296"/>
        <v>0</v>
      </c>
      <c r="Z724" s="598">
        <v>0</v>
      </c>
      <c r="AA724" s="49">
        <f>IF(Provozování!$BJ$16="Neaktivní",H724,H724*Výpočty!$R$58+Q724)</f>
        <v>0</v>
      </c>
      <c r="AB724" s="32">
        <f t="shared" si="297"/>
        <v>0</v>
      </c>
      <c r="AC724" s="183"/>
      <c r="AK724" s="183"/>
      <c r="AL724" s="183"/>
      <c r="AM724" s="183"/>
      <c r="AN724" s="183"/>
    </row>
    <row r="725" spans="2:40" x14ac:dyDescent="0.25">
      <c r="B725" s="9" t="s">
        <v>25</v>
      </c>
      <c r="C725" s="10" t="s">
        <v>26</v>
      </c>
      <c r="D725" s="11" t="s">
        <v>10</v>
      </c>
      <c r="E725" s="46">
        <f>SUM(E726:E727)</f>
        <v>0</v>
      </c>
      <c r="F725" s="46">
        <f>SUM(F726:F727)</f>
        <v>0</v>
      </c>
      <c r="G725" s="46">
        <f>SUM(G726:G727)</f>
        <v>0</v>
      </c>
      <c r="H725" s="98">
        <f>SUM(H726:H727)</f>
        <v>0</v>
      </c>
      <c r="K725" s="9" t="s">
        <v>25</v>
      </c>
      <c r="L725" s="10" t="s">
        <v>26</v>
      </c>
      <c r="M725" s="11" t="s">
        <v>10</v>
      </c>
      <c r="N725" s="46">
        <f>SUM(N726:N727)</f>
        <v>0</v>
      </c>
      <c r="O725" s="46">
        <f>SUM(O726:O727)</f>
        <v>0</v>
      </c>
      <c r="P725" s="46">
        <f>SUM(P726:P727)</f>
        <v>0</v>
      </c>
      <c r="Q725" s="98">
        <f>SUM(Q726:Q727)</f>
        <v>0</v>
      </c>
      <c r="T725" s="9" t="s">
        <v>25</v>
      </c>
      <c r="U725" s="10" t="s">
        <v>26</v>
      </c>
      <c r="V725" s="11" t="s">
        <v>10</v>
      </c>
      <c r="W725" s="98">
        <f t="shared" ref="W725:AB725" si="298">SUM(W726:W727)</f>
        <v>0</v>
      </c>
      <c r="X725" s="98">
        <f t="shared" si="298"/>
        <v>0</v>
      </c>
      <c r="Y725" s="98">
        <f t="shared" si="298"/>
        <v>0</v>
      </c>
      <c r="Z725" s="98">
        <f t="shared" si="298"/>
        <v>0</v>
      </c>
      <c r="AA725" s="98">
        <f t="shared" si="298"/>
        <v>0</v>
      </c>
      <c r="AB725" s="98">
        <f t="shared" si="298"/>
        <v>0</v>
      </c>
      <c r="AC725" s="183"/>
      <c r="AD725" s="183"/>
      <c r="AK725" s="183"/>
      <c r="AL725" s="183"/>
      <c r="AM725" s="183"/>
      <c r="AN725" s="183"/>
    </row>
    <row r="726" spans="2:40" x14ac:dyDescent="0.25">
      <c r="B726" s="12" t="s">
        <v>27</v>
      </c>
      <c r="C726" s="13" t="s">
        <v>28</v>
      </c>
      <c r="D726" s="3" t="s">
        <v>10</v>
      </c>
      <c r="E726" s="49">
        <v>0</v>
      </c>
      <c r="F726" s="590">
        <f>IF(YEAR(Postup!$H$25)&gt;$D$704,Provozování!BH31,IF(AND(DAY(Postup!$H$25)=31,MONTH(Postup!$H$25)=12,YEAR(Postup!$H$25)=$D$704),Provozování!BH31,IF(YEAR(Postup!$H$25)=$D$704,Provozování!$BL31,0)))</f>
        <v>0</v>
      </c>
      <c r="G726" s="49">
        <v>0</v>
      </c>
      <c r="H726" s="590">
        <f>IF(YEAR(Postup!$H$25)&gt;$D$704,Provozování!BI31,IF(AND(DAY(Postup!$H$25)=31,MONTH(Postup!$H$25)=12,YEAR(Postup!$H$25)=$D$704),Provozování!BI31,IF(YEAR(Postup!$H$25)=$D$704,Provozování!$BM31,0)))</f>
        <v>0</v>
      </c>
      <c r="K726" s="12" t="s">
        <v>27</v>
      </c>
      <c r="L726" s="13" t="s">
        <v>28</v>
      </c>
      <c r="M726" s="3" t="s">
        <v>10</v>
      </c>
      <c r="N726" s="49">
        <v>0</v>
      </c>
      <c r="O726" s="443">
        <f>IF(Provozování!$BJ$16="Neaktivní",0,Provozování!BJ31)</f>
        <v>0</v>
      </c>
      <c r="P726" s="49">
        <v>0</v>
      </c>
      <c r="Q726" s="443">
        <f>IF(Provozování!$BJ$16="Neaktivní",0,Provozování!BK31)</f>
        <v>0</v>
      </c>
      <c r="T726" s="12" t="s">
        <v>27</v>
      </c>
      <c r="U726" s="13" t="s">
        <v>28</v>
      </c>
      <c r="V726" s="3" t="s">
        <v>10</v>
      </c>
      <c r="W726" s="595">
        <v>0</v>
      </c>
      <c r="X726" s="49">
        <f>IF(Provozování!$BJ$16="Neaktivní",F726,F726*Výpočty!$R$58+O726)</f>
        <v>0</v>
      </c>
      <c r="Y726" s="49">
        <f t="shared" ref="Y726:Y727" si="299">W726-X726</f>
        <v>0</v>
      </c>
      <c r="Z726" s="595">
        <v>0</v>
      </c>
      <c r="AA726" s="49">
        <f>IF(Provozování!$BJ$16="Neaktivní",H726,H726*Výpočty!$R$58+Q726)</f>
        <v>0</v>
      </c>
      <c r="AB726" s="32">
        <f t="shared" ref="AB726:AB727" si="300">Z726-AA726</f>
        <v>0</v>
      </c>
      <c r="AC726" s="183"/>
      <c r="AD726" s="183"/>
      <c r="AK726" s="183"/>
      <c r="AL726" s="183"/>
      <c r="AM726" s="183"/>
      <c r="AN726" s="183"/>
    </row>
    <row r="727" spans="2:40" x14ac:dyDescent="0.25">
      <c r="B727" s="12" t="s">
        <v>29</v>
      </c>
      <c r="C727" s="13" t="s">
        <v>30</v>
      </c>
      <c r="D727" s="3" t="s">
        <v>10</v>
      </c>
      <c r="E727" s="49">
        <v>0</v>
      </c>
      <c r="F727" s="590">
        <f>IF(YEAR(Postup!$H$25)&gt;$D$704,Provozování!BH32,IF(AND(DAY(Postup!$H$25)=31,MONTH(Postup!$H$25)=12,YEAR(Postup!$H$25)=$D$704),Provozování!BH32,IF(YEAR(Postup!$H$25)=$D$704,Provozování!$BL32,0)))</f>
        <v>0</v>
      </c>
      <c r="G727" s="49">
        <v>0</v>
      </c>
      <c r="H727" s="590">
        <f>IF(YEAR(Postup!$H$25)&gt;$D$704,Provozování!BI32,IF(AND(DAY(Postup!$H$25)=31,MONTH(Postup!$H$25)=12,YEAR(Postup!$H$25)=$D$704),Provozování!BI32,IF(YEAR(Postup!$H$25)=$D$704,Provozování!$BM32,0)))</f>
        <v>0</v>
      </c>
      <c r="K727" s="12" t="s">
        <v>29</v>
      </c>
      <c r="L727" s="13" t="s">
        <v>30</v>
      </c>
      <c r="M727" s="3" t="s">
        <v>10</v>
      </c>
      <c r="N727" s="49">
        <v>0</v>
      </c>
      <c r="O727" s="443">
        <f>IF(Provozování!$BJ$16="Neaktivní",0,Provozování!BJ32)</f>
        <v>0</v>
      </c>
      <c r="P727" s="49">
        <v>0</v>
      </c>
      <c r="Q727" s="443">
        <f>IF(Provozování!$BJ$16="Neaktivní",0,Provozování!BK32)</f>
        <v>0</v>
      </c>
      <c r="T727" s="12" t="s">
        <v>29</v>
      </c>
      <c r="U727" s="13" t="s">
        <v>30</v>
      </c>
      <c r="V727" s="3" t="s">
        <v>10</v>
      </c>
      <c r="W727" s="595">
        <v>0</v>
      </c>
      <c r="X727" s="49">
        <f>IF(Provozování!$BJ$16="Neaktivní",F727,F727*Výpočty!$R$58+O727)</f>
        <v>0</v>
      </c>
      <c r="Y727" s="49">
        <f t="shared" si="299"/>
        <v>0</v>
      </c>
      <c r="Z727" s="595">
        <v>0</v>
      </c>
      <c r="AA727" s="49">
        <f>IF(Provozování!$BJ$16="Neaktivní",H727,H727*Výpočty!$R$58+Q727)</f>
        <v>0</v>
      </c>
      <c r="AB727" s="32">
        <f t="shared" si="300"/>
        <v>0</v>
      </c>
      <c r="AC727" s="183"/>
      <c r="AD727" s="183"/>
      <c r="AK727" s="183"/>
      <c r="AL727" s="183"/>
      <c r="AM727" s="183"/>
      <c r="AN727" s="183"/>
    </row>
    <row r="728" spans="2:40" x14ac:dyDescent="0.25">
      <c r="B728" s="9" t="s">
        <v>31</v>
      </c>
      <c r="C728" s="10" t="s">
        <v>32</v>
      </c>
      <c r="D728" s="11" t="s">
        <v>10</v>
      </c>
      <c r="E728" s="46">
        <f>SUM(E729:E732)</f>
        <v>0</v>
      </c>
      <c r="F728" s="46">
        <f>SUM(F729:F732)</f>
        <v>0</v>
      </c>
      <c r="G728" s="46">
        <f>SUM(G729:G732)</f>
        <v>0</v>
      </c>
      <c r="H728" s="98">
        <f>SUM(H729:H732)</f>
        <v>0</v>
      </c>
      <c r="K728" s="9" t="s">
        <v>31</v>
      </c>
      <c r="L728" s="10" t="s">
        <v>32</v>
      </c>
      <c r="M728" s="11" t="s">
        <v>10</v>
      </c>
      <c r="N728" s="46">
        <f>SUM(N729:N732)</f>
        <v>0</v>
      </c>
      <c r="O728" s="46">
        <f>SUM(O729:O732)</f>
        <v>0</v>
      </c>
      <c r="P728" s="46">
        <f>SUM(P729:P732)</f>
        <v>0</v>
      </c>
      <c r="Q728" s="98">
        <f>SUM(Q729:Q732)</f>
        <v>0</v>
      </c>
      <c r="T728" s="9" t="s">
        <v>31</v>
      </c>
      <c r="U728" s="10" t="s">
        <v>32</v>
      </c>
      <c r="V728" s="11" t="s">
        <v>10</v>
      </c>
      <c r="W728" s="98">
        <f t="shared" ref="W728:AB728" si="301">SUM(W729:W732)</f>
        <v>0</v>
      </c>
      <c r="X728" s="98">
        <f t="shared" si="301"/>
        <v>0</v>
      </c>
      <c r="Y728" s="98">
        <f t="shared" si="301"/>
        <v>0</v>
      </c>
      <c r="Z728" s="98">
        <f t="shared" si="301"/>
        <v>0</v>
      </c>
      <c r="AA728" s="98">
        <f t="shared" si="301"/>
        <v>0</v>
      </c>
      <c r="AB728" s="98">
        <f t="shared" si="301"/>
        <v>0</v>
      </c>
      <c r="AC728" s="183"/>
      <c r="AD728" s="183"/>
      <c r="AK728" s="183"/>
      <c r="AL728" s="183"/>
      <c r="AM728" s="183"/>
      <c r="AN728" s="183"/>
    </row>
    <row r="729" spans="2:40" x14ac:dyDescent="0.25">
      <c r="B729" s="12" t="s">
        <v>33</v>
      </c>
      <c r="C729" s="21" t="s">
        <v>34</v>
      </c>
      <c r="D729" s="3" t="s">
        <v>10</v>
      </c>
      <c r="E729" s="49">
        <v>0</v>
      </c>
      <c r="F729" s="49">
        <f>IF(YEAR(Postup!$H$25)&gt;$D$704,Provozování!BH34,IF(AND(DAY(Postup!$H$25)=31,MONTH(Postup!$H$25)=12,YEAR(Postup!$H$25)=$D$704),Provozování!BH34,IF(YEAR(Postup!$H$25)=$D$704,Provozování!$BL34,0)))</f>
        <v>0</v>
      </c>
      <c r="G729" s="49">
        <v>0</v>
      </c>
      <c r="H729" s="32">
        <f>IF(YEAR(Postup!$H$25)&gt;$D$704,Provozování!BI34,IF(AND(DAY(Postup!$H$25)=31,MONTH(Postup!$H$25)=12,YEAR(Postup!$H$25)=$D$704),Provozování!BI34,IF(YEAR(Postup!$H$25)=$D$704,Provozování!$BM34,0)))</f>
        <v>0</v>
      </c>
      <c r="K729" s="12" t="s">
        <v>33</v>
      </c>
      <c r="L729" s="21" t="s">
        <v>34</v>
      </c>
      <c r="M729" s="3" t="s">
        <v>10</v>
      </c>
      <c r="N729" s="49">
        <v>0</v>
      </c>
      <c r="O729" s="49">
        <f>IF(Provozování!$BJ$16="Neaktivní",0,Provozování!BJ34)</f>
        <v>0</v>
      </c>
      <c r="P729" s="49">
        <v>0</v>
      </c>
      <c r="Q729" s="59">
        <f>IF(Provozování!$BJ$16="Neaktivní",0,Provozování!BK34)</f>
        <v>0</v>
      </c>
      <c r="T729" s="12" t="s">
        <v>33</v>
      </c>
      <c r="U729" s="21" t="s">
        <v>34</v>
      </c>
      <c r="V729" s="3" t="s">
        <v>10</v>
      </c>
      <c r="W729" s="595">
        <v>0</v>
      </c>
      <c r="X729" s="49">
        <f>IF(Provozování!$BJ$16="Neaktivní",F729,F729*Výpočty!$R$58+O729)</f>
        <v>0</v>
      </c>
      <c r="Y729" s="49">
        <f t="shared" ref="Y729:Y731" si="302">W729-X729</f>
        <v>0</v>
      </c>
      <c r="Z729" s="595">
        <v>0</v>
      </c>
      <c r="AA729" s="49">
        <f>IF(Provozování!$BJ$16="Neaktivní",H729,H729*Výpočty!$R$58+Q729)</f>
        <v>0</v>
      </c>
      <c r="AB729" s="32">
        <f t="shared" ref="AB729:AB731" si="303">Z729-AA729</f>
        <v>0</v>
      </c>
      <c r="AC729" s="183"/>
      <c r="AD729" s="183"/>
      <c r="AK729" s="183"/>
      <c r="AL729" s="183"/>
      <c r="AM729" s="183"/>
      <c r="AN729" s="183"/>
    </row>
    <row r="730" spans="2:40" x14ac:dyDescent="0.25">
      <c r="B730" s="12" t="s">
        <v>35</v>
      </c>
      <c r="C730" s="13" t="s">
        <v>36</v>
      </c>
      <c r="D730" s="3" t="s">
        <v>10</v>
      </c>
      <c r="E730" s="49">
        <v>0</v>
      </c>
      <c r="F730" s="589">
        <f>IF(YEAR(Postup!$H$25)&gt;$D$704,Provozování!BH35,IF(AND(DAY(Postup!$H$25)=31,MONTH(Postup!$H$25)=12,YEAR(Postup!$H$25)=$D$704),Provozování!BH35,IF(YEAR(Postup!$H$25)=$D$704,Provozování!$BL35,0)))</f>
        <v>0</v>
      </c>
      <c r="G730" s="49">
        <v>0</v>
      </c>
      <c r="H730" s="590">
        <f>IF(YEAR(Postup!$H$25)&gt;$D$704,Provozování!BI35,IF(AND(DAY(Postup!$H$25)=31,MONTH(Postup!$H$25)=12,YEAR(Postup!$H$25)=$D$704),Provozování!BI35,IF(YEAR(Postup!$H$25)=$D$704,Provozování!$BM35,0)))</f>
        <v>0</v>
      </c>
      <c r="K730" s="12" t="s">
        <v>35</v>
      </c>
      <c r="L730" s="13" t="s">
        <v>36</v>
      </c>
      <c r="M730" s="3" t="s">
        <v>10</v>
      </c>
      <c r="N730" s="49">
        <v>0</v>
      </c>
      <c r="O730" s="444">
        <f>IF(Provozování!$BJ$16="Neaktivní",0,Provozování!BJ35)</f>
        <v>0</v>
      </c>
      <c r="P730" s="49">
        <v>0</v>
      </c>
      <c r="Q730" s="450">
        <f>IF(Provozování!$BJ$16="Neaktivní",0,Provozování!BK35)</f>
        <v>0</v>
      </c>
      <c r="T730" s="12" t="s">
        <v>35</v>
      </c>
      <c r="U730" s="13" t="s">
        <v>36</v>
      </c>
      <c r="V730" s="3" t="s">
        <v>10</v>
      </c>
      <c r="W730" s="595">
        <v>0</v>
      </c>
      <c r="X730" s="49">
        <f>IF(Provozování!$BJ$16="Neaktivní",F730,F730*Výpočty!$R$58+O730)</f>
        <v>0</v>
      </c>
      <c r="Y730" s="49">
        <f t="shared" si="302"/>
        <v>0</v>
      </c>
      <c r="Z730" s="595">
        <v>0</v>
      </c>
      <c r="AA730" s="49">
        <f>IF(Provozování!$BJ$16="Neaktivní",H730,H730*Výpočty!$R$58+Q730)</f>
        <v>0</v>
      </c>
      <c r="AB730" s="32">
        <f t="shared" si="303"/>
        <v>0</v>
      </c>
      <c r="AC730" s="183"/>
      <c r="AD730" s="183"/>
      <c r="AK730" s="183"/>
      <c r="AL730" s="183"/>
      <c r="AM730" s="183"/>
      <c r="AN730" s="183"/>
    </row>
    <row r="731" spans="2:40" x14ac:dyDescent="0.25">
      <c r="B731" s="12" t="s">
        <v>37</v>
      </c>
      <c r="C731" s="13" t="s">
        <v>38</v>
      </c>
      <c r="D731" s="3" t="s">
        <v>10</v>
      </c>
      <c r="E731" s="49">
        <v>0</v>
      </c>
      <c r="F731" s="49">
        <f>IF(YEAR(Postup!$H$25)&gt;$D$704,Provozování!BH36,IF(AND(DAY(Postup!$H$25)=31,MONTH(Postup!$H$25)=12,YEAR(Postup!$H$25)=$D$704),Provozování!BH36,IF(YEAR(Postup!$H$25)=$D$704,Provozování!$BL36,0)))</f>
        <v>0</v>
      </c>
      <c r="G731" s="49">
        <v>0</v>
      </c>
      <c r="H731" s="32">
        <f>IF(YEAR(Postup!$H$25)&gt;$D$704,Provozování!BI36,IF(AND(DAY(Postup!$H$25)=31,MONTH(Postup!$H$25)=12,YEAR(Postup!$H$25)=$D$704),Provozování!BI36,IF(YEAR(Postup!$H$25)=$D$704,Provozování!$BM36,0)))</f>
        <v>0</v>
      </c>
      <c r="K731" s="12" t="s">
        <v>37</v>
      </c>
      <c r="L731" s="13" t="s">
        <v>38</v>
      </c>
      <c r="M731" s="3" t="s">
        <v>10</v>
      </c>
      <c r="N731" s="49">
        <v>0</v>
      </c>
      <c r="O731" s="49">
        <f>IF(Provozování!$BJ$16="Neaktivní",0,Provozování!BJ36)</f>
        <v>0</v>
      </c>
      <c r="P731" s="49">
        <v>0</v>
      </c>
      <c r="Q731" s="59">
        <f>IF(Provozování!$BJ$16="Neaktivní",0,Provozování!BK36)</f>
        <v>0</v>
      </c>
      <c r="T731" s="12" t="s">
        <v>37</v>
      </c>
      <c r="U731" s="13" t="s">
        <v>38</v>
      </c>
      <c r="V731" s="3" t="s">
        <v>10</v>
      </c>
      <c r="W731" s="595">
        <v>0</v>
      </c>
      <c r="X731" s="49">
        <f>IF(Provozování!$BJ$16="Neaktivní",F731,F731*Výpočty!$R$58+O731)</f>
        <v>0</v>
      </c>
      <c r="Y731" s="49">
        <f t="shared" si="302"/>
        <v>0</v>
      </c>
      <c r="Z731" s="595">
        <v>0</v>
      </c>
      <c r="AA731" s="49">
        <f>IF(Provozování!$BJ$16="Neaktivní",H731,H731*Výpočty!$R$58+Q731)</f>
        <v>0</v>
      </c>
      <c r="AB731" s="32">
        <f t="shared" si="303"/>
        <v>0</v>
      </c>
      <c r="AC731" s="183"/>
      <c r="AD731" s="183"/>
      <c r="AK731" s="183"/>
      <c r="AL731" s="183"/>
      <c r="AM731" s="183"/>
      <c r="AN731" s="183"/>
    </row>
    <row r="732" spans="2:40" x14ac:dyDescent="0.25">
      <c r="B732" s="12" t="s">
        <v>39</v>
      </c>
      <c r="C732" s="21" t="s">
        <v>40</v>
      </c>
      <c r="D732" s="3" t="s">
        <v>10</v>
      </c>
      <c r="E732" s="49">
        <v>0</v>
      </c>
      <c r="F732" s="445">
        <v>0</v>
      </c>
      <c r="G732" s="49">
        <v>0</v>
      </c>
      <c r="H732" s="442">
        <v>0</v>
      </c>
      <c r="K732" s="12" t="s">
        <v>39</v>
      </c>
      <c r="L732" s="21" t="s">
        <v>40</v>
      </c>
      <c r="M732" s="3" t="s">
        <v>10</v>
      </c>
      <c r="N732" s="49">
        <v>0</v>
      </c>
      <c r="O732" s="445">
        <v>0</v>
      </c>
      <c r="P732" s="49">
        <v>0</v>
      </c>
      <c r="Q732" s="442">
        <v>0</v>
      </c>
      <c r="T732" s="12" t="s">
        <v>39</v>
      </c>
      <c r="U732" s="21" t="s">
        <v>40</v>
      </c>
      <c r="V732" s="3" t="s">
        <v>10</v>
      </c>
      <c r="W732" s="445">
        <v>0</v>
      </c>
      <c r="X732" s="445">
        <v>0</v>
      </c>
      <c r="Y732" s="445">
        <v>0</v>
      </c>
      <c r="Z732" s="445">
        <v>0</v>
      </c>
      <c r="AA732" s="445">
        <v>0</v>
      </c>
      <c r="AB732" s="442">
        <v>0</v>
      </c>
      <c r="AC732" s="183"/>
      <c r="AD732" s="183"/>
      <c r="AK732" s="183"/>
      <c r="AL732" s="183"/>
      <c r="AM732" s="183"/>
      <c r="AN732" s="183"/>
    </row>
    <row r="733" spans="2:40" x14ac:dyDescent="0.25">
      <c r="B733" s="9" t="s">
        <v>41</v>
      </c>
      <c r="C733" s="10" t="s">
        <v>42</v>
      </c>
      <c r="D733" s="11" t="s">
        <v>10</v>
      </c>
      <c r="E733" s="46">
        <f>SUM(E734:E736)</f>
        <v>0</v>
      </c>
      <c r="F733" s="46">
        <f>SUM(F734:F736)</f>
        <v>0</v>
      </c>
      <c r="G733" s="46">
        <f>SUM(G734:G736)</f>
        <v>0</v>
      </c>
      <c r="H733" s="98">
        <f>SUM(H734:H736)</f>
        <v>0</v>
      </c>
      <c r="K733" s="9" t="s">
        <v>41</v>
      </c>
      <c r="L733" s="10" t="s">
        <v>42</v>
      </c>
      <c r="M733" s="11" t="s">
        <v>10</v>
      </c>
      <c r="N733" s="46">
        <f>SUM(N734:N736)</f>
        <v>0</v>
      </c>
      <c r="O733" s="46">
        <f>SUM(O734:O736)</f>
        <v>0</v>
      </c>
      <c r="P733" s="46">
        <f>SUM(P734:P736)</f>
        <v>0</v>
      </c>
      <c r="Q733" s="98">
        <f>SUM(Q734:Q736)</f>
        <v>0</v>
      </c>
      <c r="T733" s="9" t="s">
        <v>41</v>
      </c>
      <c r="U733" s="10" t="s">
        <v>42</v>
      </c>
      <c r="V733" s="11" t="s">
        <v>10</v>
      </c>
      <c r="W733" s="98">
        <f t="shared" ref="W733:AB733" si="304">SUM(W734:W736)</f>
        <v>0</v>
      </c>
      <c r="X733" s="98">
        <f t="shared" si="304"/>
        <v>0</v>
      </c>
      <c r="Y733" s="98">
        <f t="shared" si="304"/>
        <v>0</v>
      </c>
      <c r="Z733" s="98">
        <f t="shared" si="304"/>
        <v>0</v>
      </c>
      <c r="AA733" s="98">
        <f t="shared" si="304"/>
        <v>0</v>
      </c>
      <c r="AB733" s="98">
        <f t="shared" si="304"/>
        <v>0</v>
      </c>
      <c r="AC733" s="183"/>
      <c r="AD733" s="183"/>
      <c r="AK733" s="183"/>
      <c r="AL733" s="183"/>
      <c r="AM733" s="183"/>
      <c r="AN733" s="183"/>
    </row>
    <row r="734" spans="2:40" x14ac:dyDescent="0.25">
      <c r="B734" s="12" t="s">
        <v>43</v>
      </c>
      <c r="C734" s="13" t="s">
        <v>44</v>
      </c>
      <c r="D734" s="3" t="s">
        <v>10</v>
      </c>
      <c r="E734" s="49">
        <v>0</v>
      </c>
      <c r="F734" s="445">
        <v>0</v>
      </c>
      <c r="G734" s="49">
        <v>0</v>
      </c>
      <c r="H734" s="32">
        <f>IF(YEAR(Postup!$H$25)&gt;$D$704,Provozování!BI39,IF(AND(DAY(Postup!$H$25)=31,MONTH(Postup!$H$25)=12,YEAR(Postup!$H$25)=$D$704),Provozování!BI39,IF(YEAR(Postup!$H$25)=$D$704,Provozování!$BM39,0)))</f>
        <v>0</v>
      </c>
      <c r="K734" s="12" t="s">
        <v>43</v>
      </c>
      <c r="L734" s="13" t="s">
        <v>44</v>
      </c>
      <c r="M734" s="3" t="s">
        <v>10</v>
      </c>
      <c r="N734" s="49">
        <v>0</v>
      </c>
      <c r="O734" s="445">
        <v>0</v>
      </c>
      <c r="P734" s="49">
        <v>0</v>
      </c>
      <c r="Q734" s="59">
        <f>IF(Provozování!$BJ$16="Neaktivní",0,Provozování!BK39)</f>
        <v>0</v>
      </c>
      <c r="T734" s="12" t="s">
        <v>43</v>
      </c>
      <c r="U734" s="13" t="s">
        <v>44</v>
      </c>
      <c r="V734" s="3" t="s">
        <v>10</v>
      </c>
      <c r="W734" s="445">
        <v>0</v>
      </c>
      <c r="X734" s="445">
        <v>0</v>
      </c>
      <c r="Y734" s="445">
        <v>0</v>
      </c>
      <c r="Z734" s="595">
        <v>0</v>
      </c>
      <c r="AA734" s="49">
        <f>IF(Provozování!$BJ$16="Neaktivní",H734,H734*Výpočty!$R$58+Q734)</f>
        <v>0</v>
      </c>
      <c r="AB734" s="32">
        <f t="shared" ref="AB734:AB737" si="305">Z734-AA734</f>
        <v>0</v>
      </c>
      <c r="AC734" s="183"/>
      <c r="AD734" s="183"/>
      <c r="AE734" s="951" t="s">
        <v>362</v>
      </c>
      <c r="AF734" s="952"/>
      <c r="AG734" s="447">
        <f>Y714</f>
        <v>2030</v>
      </c>
      <c r="AH734" s="447">
        <f>AG734</f>
        <v>2030</v>
      </c>
      <c r="AK734" s="183"/>
      <c r="AL734" s="183"/>
      <c r="AM734" s="183"/>
      <c r="AN734" s="183"/>
    </row>
    <row r="735" spans="2:40" x14ac:dyDescent="0.25">
      <c r="B735" s="12" t="s">
        <v>45</v>
      </c>
      <c r="C735" s="12" t="s">
        <v>46</v>
      </c>
      <c r="D735" s="3" t="s">
        <v>10</v>
      </c>
      <c r="E735" s="49">
        <v>0</v>
      </c>
      <c r="F735" s="590">
        <f>IF(YEAR(Postup!$H$25)&gt;$D$704,Provozování!BH40,IF(AND(DAY(Postup!$H$25)=31,MONTH(Postup!$H$25)=12,YEAR(Postup!$H$25)=$D$704),Provozování!BH40,IF(YEAR(Postup!$H$25)=$D$704,Provozování!$BL40,0)))</f>
        <v>0</v>
      </c>
      <c r="G735" s="49">
        <v>0</v>
      </c>
      <c r="H735" s="590">
        <f>IF(YEAR(Postup!$H$25)&gt;$D$704,Provozování!BI40,IF(AND(DAY(Postup!$H$25)=31,MONTH(Postup!$H$25)=12,YEAR(Postup!$H$25)=$D$704),Provozování!BI40,IF(YEAR(Postup!$H$25)=$D$704,Provozování!$BM40,0)))</f>
        <v>0</v>
      </c>
      <c r="K735" s="12" t="s">
        <v>45</v>
      </c>
      <c r="L735" s="12" t="s">
        <v>46</v>
      </c>
      <c r="M735" s="3" t="s">
        <v>10</v>
      </c>
      <c r="N735" s="49">
        <v>0</v>
      </c>
      <c r="O735" s="443">
        <f>IF(Provozování!$BJ$16="Neaktivní",0,Provozování!BJ40)</f>
        <v>0</v>
      </c>
      <c r="P735" s="49">
        <v>0</v>
      </c>
      <c r="Q735" s="443">
        <f>IF(Provozování!$BJ$16="Neaktivní",0,Provozování!BK40)</f>
        <v>0</v>
      </c>
      <c r="T735" s="12" t="s">
        <v>45</v>
      </c>
      <c r="U735" s="12" t="s">
        <v>46</v>
      </c>
      <c r="V735" s="3" t="s">
        <v>10</v>
      </c>
      <c r="W735" s="595">
        <v>0</v>
      </c>
      <c r="X735" s="49">
        <f>IF(Provozování!$BJ$16="Neaktivní",F735,F735*Výpočty!$R$58+O735)</f>
        <v>0</v>
      </c>
      <c r="Y735" s="49">
        <f t="shared" ref="Y735:Y737" si="306">W735-X735</f>
        <v>0</v>
      </c>
      <c r="Z735" s="595">
        <v>0</v>
      </c>
      <c r="AA735" s="49">
        <f>IF(Provozování!$BJ$16="Neaktivní",H735,H735*Výpočty!$R$58+Q735)</f>
        <v>0</v>
      </c>
      <c r="AB735" s="32">
        <f t="shared" si="305"/>
        <v>0</v>
      </c>
      <c r="AC735" s="183"/>
      <c r="AD735" s="183"/>
      <c r="AE735" s="953"/>
      <c r="AF735" s="954"/>
      <c r="AG735" s="957" t="s">
        <v>299</v>
      </c>
      <c r="AH735" s="957" t="s">
        <v>300</v>
      </c>
      <c r="AK735" s="183"/>
      <c r="AL735" s="183"/>
      <c r="AM735" s="183"/>
      <c r="AN735" s="183"/>
    </row>
    <row r="736" spans="2:40" x14ac:dyDescent="0.25">
      <c r="B736" s="12" t="s">
        <v>47</v>
      </c>
      <c r="C736" s="13" t="s">
        <v>48</v>
      </c>
      <c r="D736" s="3" t="s">
        <v>10</v>
      </c>
      <c r="E736" s="49">
        <v>0</v>
      </c>
      <c r="F736" s="590">
        <f>IF(YEAR(Postup!$H$25)&gt;$D$704,Provozování!BH41,IF(AND(DAY(Postup!$H$25)=31,MONTH(Postup!$H$25)=12,YEAR(Postup!$H$25)=$D$704),Provozování!BH41,IF(YEAR(Postup!$H$25)=$D$704,Provozování!$BL41,0)))</f>
        <v>0</v>
      </c>
      <c r="G736" s="49">
        <v>0</v>
      </c>
      <c r="H736" s="590">
        <f>IF(YEAR(Postup!$H$25)&gt;$D$704,Provozování!BI41,IF(AND(DAY(Postup!$H$25)=31,MONTH(Postup!$H$25)=12,YEAR(Postup!$H$25)=$D$704),Provozování!BI41,IF(YEAR(Postup!$H$25)=$D$704,Provozování!$BM41,0)))</f>
        <v>0</v>
      </c>
      <c r="K736" s="12" t="s">
        <v>47</v>
      </c>
      <c r="L736" s="13" t="s">
        <v>48</v>
      </c>
      <c r="M736" s="3" t="s">
        <v>10</v>
      </c>
      <c r="N736" s="49">
        <v>0</v>
      </c>
      <c r="O736" s="443">
        <f>IF(Provozování!$BJ$16="Neaktivní",0,Provozování!BJ41)</f>
        <v>0</v>
      </c>
      <c r="P736" s="49">
        <v>0</v>
      </c>
      <c r="Q736" s="443">
        <f>IF(Provozování!$BJ$16="Neaktivní",0,Provozování!BK41)</f>
        <v>0</v>
      </c>
      <c r="T736" s="12" t="s">
        <v>47</v>
      </c>
      <c r="U736" s="13" t="s">
        <v>48</v>
      </c>
      <c r="V736" s="3" t="s">
        <v>10</v>
      </c>
      <c r="W736" s="595">
        <v>0</v>
      </c>
      <c r="X736" s="49">
        <f>IF(Provozování!$BJ$16="Neaktivní",F736,F736*Výpočty!$R$58+O736)</f>
        <v>0</v>
      </c>
      <c r="Y736" s="49">
        <f t="shared" si="306"/>
        <v>0</v>
      </c>
      <c r="Z736" s="595">
        <v>0</v>
      </c>
      <c r="AA736" s="49">
        <f>IF(Provozování!$BJ$16="Neaktivní",H736,H736*Výpočty!$R$58+Q736)</f>
        <v>0</v>
      </c>
      <c r="AB736" s="32">
        <f t="shared" si="305"/>
        <v>0</v>
      </c>
      <c r="AC736" s="183"/>
      <c r="AD736" s="183"/>
      <c r="AE736" s="955"/>
      <c r="AF736" s="956"/>
      <c r="AG736" s="958"/>
      <c r="AH736" s="958"/>
      <c r="AK736" s="183"/>
      <c r="AL736" s="183"/>
      <c r="AM736" s="183"/>
      <c r="AN736" s="183"/>
    </row>
    <row r="737" spans="2:40" x14ac:dyDescent="0.25">
      <c r="B737" s="9" t="s">
        <v>49</v>
      </c>
      <c r="C737" s="10" t="s">
        <v>50</v>
      </c>
      <c r="D737" s="11" t="s">
        <v>10</v>
      </c>
      <c r="E737" s="49">
        <v>0</v>
      </c>
      <c r="F737" s="589">
        <f>IF(YEAR(Postup!$H$25)&gt;$D$704,Provozování!BH42,IF(AND(DAY(Postup!$H$25)=31,MONTH(Postup!$H$25)=12,YEAR(Postup!$H$25)=$D$704),Provozování!BH42,IF(YEAR(Postup!$H$25)=$D$704,Provozování!$BL42,0)))</f>
        <v>0</v>
      </c>
      <c r="G737" s="49">
        <v>0</v>
      </c>
      <c r="H737" s="590">
        <f>IF(YEAR(Postup!$H$25)&gt;$D$704,Provozování!BI42,IF(AND(DAY(Postup!$H$25)=31,MONTH(Postup!$H$25)=12,YEAR(Postup!$H$25)=$D$704),Provozování!BI42,IF(YEAR(Postup!$H$25)=$D$704,Provozování!$BM42,0)))</f>
        <v>0</v>
      </c>
      <c r="K737" s="9" t="s">
        <v>49</v>
      </c>
      <c r="L737" s="10" t="s">
        <v>50</v>
      </c>
      <c r="M737" s="11" t="s">
        <v>10</v>
      </c>
      <c r="N737" s="49">
        <v>0</v>
      </c>
      <c r="O737" s="444">
        <f>IF(Provozování!$BJ$16="Neaktivní",0,Provozování!BJ42)</f>
        <v>0</v>
      </c>
      <c r="P737" s="49">
        <v>0</v>
      </c>
      <c r="Q737" s="450">
        <f>IF(Provozování!$BJ$16="Neaktivní",0,Provozování!BK42)</f>
        <v>0</v>
      </c>
      <c r="T737" s="9" t="s">
        <v>49</v>
      </c>
      <c r="U737" s="10" t="s">
        <v>50</v>
      </c>
      <c r="V737" s="11" t="s">
        <v>10</v>
      </c>
      <c r="W737" s="595">
        <v>0</v>
      </c>
      <c r="X737" s="49">
        <f>IF(Provozování!$BJ$16="Neaktivní",F737,F737*Výpočty!$R$58+O737)</f>
        <v>0</v>
      </c>
      <c r="Y737" s="49">
        <f t="shared" si="306"/>
        <v>0</v>
      </c>
      <c r="Z737" s="595">
        <v>0</v>
      </c>
      <c r="AA737" s="49">
        <f>IF(Provozování!$BJ$16="Neaktivní",H737,H737*Výpočty!$R$58+Q737)</f>
        <v>0</v>
      </c>
      <c r="AB737" s="32">
        <f t="shared" si="305"/>
        <v>0</v>
      </c>
      <c r="AC737" s="183"/>
      <c r="AD737" s="183"/>
      <c r="AE737" s="12" t="s">
        <v>405</v>
      </c>
      <c r="AF737" s="12" t="s">
        <v>408</v>
      </c>
      <c r="AG737" s="542">
        <f>Z765</f>
        <v>0</v>
      </c>
      <c r="AH737" s="542">
        <f>AB765</f>
        <v>0</v>
      </c>
      <c r="AK737" s="183"/>
      <c r="AL737" s="183"/>
      <c r="AM737" s="183"/>
      <c r="AN737" s="183"/>
    </row>
    <row r="738" spans="2:40" x14ac:dyDescent="0.25">
      <c r="B738" s="9" t="s">
        <v>51</v>
      </c>
      <c r="C738" s="10" t="s">
        <v>52</v>
      </c>
      <c r="D738" s="11" t="s">
        <v>10</v>
      </c>
      <c r="E738" s="49">
        <v>0</v>
      </c>
      <c r="F738" s="589">
        <f>IF(YEAR(Postup!$H$25)&gt;$D$704,Provozování!BH43-Provozování!BH97,IF(AND(DAY(Postup!$H$25)=31,MONTH(Postup!$H$25)=12,YEAR(Postup!$H$25)=$D$704),Provozování!BH43-Provozování!BH97,IF(YEAR(Postup!$H$25)=$D$704,Provozování!$BL43-Provozování!BH97,0)))</f>
        <v>0</v>
      </c>
      <c r="G738" s="49">
        <v>0</v>
      </c>
      <c r="H738" s="590">
        <f>IF(YEAR(Postup!$H$25)&gt;$D$704,Provozování!BI43-Provozování!BI97,IF(AND(DAY(Postup!$H$25)=31,MONTH(Postup!$H$25)=12,YEAR(Postup!$H$25)=$D$704),Provozování!BI43-Provozování!BI97,IF(YEAR(Postup!$H$25)=$D$704,Provozování!$BM43-Provozování!BI97,0)))</f>
        <v>0</v>
      </c>
      <c r="K738" s="9" t="s">
        <v>51</v>
      </c>
      <c r="L738" s="10" t="s">
        <v>52</v>
      </c>
      <c r="M738" s="11" t="s">
        <v>10</v>
      </c>
      <c r="N738" s="49">
        <v>0</v>
      </c>
      <c r="O738" s="444">
        <f>IF(Provozování!$BJ$16="Neaktivní",0,Provozování!BJ43-Provozování!BH97*Výpočty!R53)</f>
        <v>0</v>
      </c>
      <c r="P738" s="49">
        <v>0</v>
      </c>
      <c r="Q738" s="450">
        <f>IF(Provozování!$BJ$16="Neaktivní",0,Provozování!BK43-Provozování!BI97*Výpočty!R53)</f>
        <v>0</v>
      </c>
      <c r="T738" s="9" t="s">
        <v>51</v>
      </c>
      <c r="U738" s="10" t="s">
        <v>52</v>
      </c>
      <c r="V738" s="11" t="s">
        <v>10</v>
      </c>
      <c r="W738" s="595">
        <v>0</v>
      </c>
      <c r="X738" s="49">
        <f>IF(Provozování!$BJ$16="Neaktivní",F738,F738*Výpočty!$R$58+O738)</f>
        <v>0</v>
      </c>
      <c r="Y738" s="49">
        <f>ABS(W738)-ABS(X738)</f>
        <v>0</v>
      </c>
      <c r="Z738" s="595">
        <v>0</v>
      </c>
      <c r="AA738" s="49">
        <f>IF(Provozování!$BJ$16="Neaktivní",H738,H738*Výpočty!$R$58+Q738)</f>
        <v>0</v>
      </c>
      <c r="AB738" s="32">
        <f>ABS(Z738)-ABS(AA738)</f>
        <v>0</v>
      </c>
      <c r="AC738" s="183"/>
      <c r="AD738" s="183"/>
      <c r="AE738" s="12" t="s">
        <v>406</v>
      </c>
      <c r="AF738" s="13" t="s">
        <v>410</v>
      </c>
      <c r="AG738" s="360">
        <f>Y764</f>
        <v>0</v>
      </c>
      <c r="AH738" s="360">
        <f>AA764</f>
        <v>0</v>
      </c>
      <c r="AK738" s="183"/>
      <c r="AL738" s="183"/>
      <c r="AM738" s="183"/>
      <c r="AN738" s="183"/>
    </row>
    <row r="739" spans="2:40" x14ac:dyDescent="0.25">
      <c r="B739" s="9" t="s">
        <v>53</v>
      </c>
      <c r="C739" s="10" t="s">
        <v>54</v>
      </c>
      <c r="D739" s="11" t="s">
        <v>10</v>
      </c>
      <c r="E739" s="49">
        <v>0</v>
      </c>
      <c r="F739" s="590">
        <f>IF(YEAR(Postup!$H$25)&gt;$D$704,Provozování!BH44,IF(AND(DAY(Postup!$H$25)=31,MONTH(Postup!$H$25)=12,YEAR(Postup!$H$25)=$D$704),Provozování!BH44,IF(YEAR(Postup!$H$25)=$D$704,Provozování!$BL44,0)))</f>
        <v>0</v>
      </c>
      <c r="G739" s="49">
        <v>0</v>
      </c>
      <c r="H739" s="590">
        <f>IF(YEAR(Postup!$H$25)&gt;$D$704,Provozování!BI44,IF(AND(DAY(Postup!$H$25)=31,MONTH(Postup!$H$25)=12,YEAR(Postup!$H$25)=$D$704),Provozování!BI44,IF(YEAR(Postup!$H$25)=$D$704,Provozování!$BM44,0)))</f>
        <v>0</v>
      </c>
      <c r="K739" s="9" t="s">
        <v>53</v>
      </c>
      <c r="L739" s="10" t="s">
        <v>54</v>
      </c>
      <c r="M739" s="11" t="s">
        <v>10</v>
      </c>
      <c r="N739" s="49">
        <v>0</v>
      </c>
      <c r="O739" s="443">
        <f>IF(Provozování!$BJ$16="Neaktivní",0,Provozování!BJ44)</f>
        <v>0</v>
      </c>
      <c r="P739" s="49">
        <v>0</v>
      </c>
      <c r="Q739" s="443">
        <f>IF(Provozování!$BJ$16="Neaktivní",0,Provozování!BK44)</f>
        <v>0</v>
      </c>
      <c r="T739" s="9" t="s">
        <v>53</v>
      </c>
      <c r="U739" s="10" t="s">
        <v>54</v>
      </c>
      <c r="V739" s="11" t="s">
        <v>10</v>
      </c>
      <c r="W739" s="595">
        <v>0</v>
      </c>
      <c r="X739" s="49">
        <f>IF(Provozování!$BJ$16="Neaktivní",F739,F739*Výpočty!$R$58+O739)</f>
        <v>0</v>
      </c>
      <c r="Y739" s="49">
        <f t="shared" ref="Y739:Y740" si="307">W739-X739</f>
        <v>0</v>
      </c>
      <c r="Z739" s="595">
        <v>0</v>
      </c>
      <c r="AA739" s="49">
        <f>IF(Provozování!$BJ$16="Neaktivní",H739,H739*Výpočty!$R$58+Q739)</f>
        <v>0</v>
      </c>
      <c r="AB739" s="32">
        <f t="shared" ref="AB739:AB740" si="308">Z739-AA739</f>
        <v>0</v>
      </c>
      <c r="AC739" s="183"/>
      <c r="AD739" s="183"/>
      <c r="AE739" s="12" t="s">
        <v>407</v>
      </c>
      <c r="AF739" s="13" t="s">
        <v>409</v>
      </c>
      <c r="AG739" s="360">
        <f>Z764</f>
        <v>0</v>
      </c>
      <c r="AH739" s="360">
        <f>AB764</f>
        <v>0</v>
      </c>
      <c r="AK739" s="183"/>
      <c r="AL739" s="183"/>
      <c r="AM739" s="183"/>
      <c r="AN739" s="183"/>
    </row>
    <row r="740" spans="2:40" x14ac:dyDescent="0.25">
      <c r="B740" s="9" t="s">
        <v>55</v>
      </c>
      <c r="C740" s="10" t="s">
        <v>56</v>
      </c>
      <c r="D740" s="11" t="s">
        <v>10</v>
      </c>
      <c r="E740" s="49">
        <v>0</v>
      </c>
      <c r="F740" s="590">
        <f>IF(YEAR(Postup!$H$25)&gt;$D$704,Provozování!BH45,IF(AND(DAY(Postup!$H$25)=31,MONTH(Postup!$H$25)=12,YEAR(Postup!$H$25)=$D$704),Provozování!BH45,IF(YEAR(Postup!$H$25)=$D$704,Provozování!$BL45,0)))</f>
        <v>0</v>
      </c>
      <c r="G740" s="49">
        <v>0</v>
      </c>
      <c r="H740" s="590">
        <f>IF(YEAR(Postup!$H$25)&gt;$D$704,Provozování!BI45,IF(AND(DAY(Postup!$H$25)=31,MONTH(Postup!$H$25)=12,YEAR(Postup!$H$25)=$D$704),Provozování!BI45,IF(YEAR(Postup!$H$25)=$D$704,Provozování!$BM45,0)))</f>
        <v>0</v>
      </c>
      <c r="K740" s="9" t="s">
        <v>55</v>
      </c>
      <c r="L740" s="10" t="s">
        <v>56</v>
      </c>
      <c r="M740" s="11" t="s">
        <v>10</v>
      </c>
      <c r="N740" s="49">
        <v>0</v>
      </c>
      <c r="O740" s="443">
        <f>IF(Provozování!$BJ$16="Neaktivní",0,Provozování!BJ45)</f>
        <v>0</v>
      </c>
      <c r="P740" s="49">
        <v>0</v>
      </c>
      <c r="Q740" s="443">
        <f>IF(Provozování!$BJ$16="Neaktivní",0,Provozování!BK45)</f>
        <v>0</v>
      </c>
      <c r="T740" s="9" t="s">
        <v>55</v>
      </c>
      <c r="U740" s="10" t="s">
        <v>56</v>
      </c>
      <c r="V740" s="11" t="s">
        <v>10</v>
      </c>
      <c r="W740" s="595">
        <v>0</v>
      </c>
      <c r="X740" s="49">
        <f>IF(Provozování!$BJ$16="Neaktivní",F740,F740*Výpočty!$R$58+O740)</f>
        <v>0</v>
      </c>
      <c r="Y740" s="49">
        <f t="shared" si="307"/>
        <v>0</v>
      </c>
      <c r="Z740" s="595">
        <v>0</v>
      </c>
      <c r="AA740" s="49">
        <f>IF(Provozování!$BJ$16="Neaktivní",H740,H740*Výpočty!$R$58+Q740)</f>
        <v>0</v>
      </c>
      <c r="AB740" s="32">
        <f t="shared" si="308"/>
        <v>0</v>
      </c>
      <c r="AC740" s="183"/>
      <c r="AD740" s="183"/>
      <c r="AE740" s="12" t="s">
        <v>411</v>
      </c>
      <c r="AF740" s="12" t="s">
        <v>419</v>
      </c>
      <c r="AG740" s="360">
        <f>X741-X731</f>
        <v>0</v>
      </c>
      <c r="AH740" s="360">
        <f>AA741-AA731</f>
        <v>0</v>
      </c>
      <c r="AK740" s="183"/>
      <c r="AL740" s="183"/>
      <c r="AM740" s="183"/>
      <c r="AN740" s="183"/>
    </row>
    <row r="741" spans="2:40" x14ac:dyDescent="0.25">
      <c r="B741" s="9" t="s">
        <v>57</v>
      </c>
      <c r="C741" s="10" t="s">
        <v>58</v>
      </c>
      <c r="D741" s="11" t="s">
        <v>10</v>
      </c>
      <c r="E741" s="46">
        <f>E717+E722+E725+E728+E733+E737+E738+E739+E740</f>
        <v>0</v>
      </c>
      <c r="F741" s="46">
        <f>F717+F722+F725+F728+F733+F737+F738+F739+F740</f>
        <v>0</v>
      </c>
      <c r="G741" s="46">
        <f>G717+G722+G725+G728+G733+G737+G738+G739+G740</f>
        <v>0</v>
      </c>
      <c r="H741" s="98">
        <f>H717+H722+H725+H728+H733+H737+H738+H739+H740</f>
        <v>0</v>
      </c>
      <c r="K741" s="9" t="s">
        <v>57</v>
      </c>
      <c r="L741" s="10" t="s">
        <v>58</v>
      </c>
      <c r="M741" s="11" t="s">
        <v>10</v>
      </c>
      <c r="N741" s="46">
        <f>N717+N722+N725+N728+N733+N737+N738+N739+N740</f>
        <v>0</v>
      </c>
      <c r="O741" s="46">
        <f>O717+O722+O725+O728+O733+O737+O738+O739+O740</f>
        <v>0</v>
      </c>
      <c r="P741" s="46">
        <f>P717+P722+P725+P728+P733+P737+P738+P739+P740</f>
        <v>0</v>
      </c>
      <c r="Q741" s="98">
        <f>Q717+Q722+Q725+Q728+Q733+Q737+Q738+Q739+Q740</f>
        <v>0</v>
      </c>
      <c r="T741" s="9" t="s">
        <v>57</v>
      </c>
      <c r="U741" s="10" t="s">
        <v>58</v>
      </c>
      <c r="V741" s="11" t="s">
        <v>10</v>
      </c>
      <c r="W741" s="46">
        <f t="shared" ref="W741:AB741" si="309">W717+W722+W725+W728+W733+W737+W738+W739+W740</f>
        <v>0</v>
      </c>
      <c r="X741" s="46">
        <f t="shared" si="309"/>
        <v>0</v>
      </c>
      <c r="Y741" s="46">
        <f t="shared" si="309"/>
        <v>0</v>
      </c>
      <c r="Z741" s="46">
        <f t="shared" si="309"/>
        <v>0</v>
      </c>
      <c r="AA741" s="46">
        <f t="shared" si="309"/>
        <v>0</v>
      </c>
      <c r="AB741" s="98">
        <f t="shared" si="309"/>
        <v>0</v>
      </c>
      <c r="AC741" s="183"/>
      <c r="AD741" s="183"/>
      <c r="AE741" s="12" t="s">
        <v>412</v>
      </c>
      <c r="AF741" s="12" t="s">
        <v>418</v>
      </c>
      <c r="AG741" s="360">
        <f>W741-W731</f>
        <v>0</v>
      </c>
      <c r="AH741" s="360">
        <f>Z741-Z731</f>
        <v>0</v>
      </c>
      <c r="AK741" s="183"/>
      <c r="AL741" s="183"/>
      <c r="AM741" s="183"/>
      <c r="AN741" s="183"/>
    </row>
    <row r="742" spans="2:40" x14ac:dyDescent="0.25">
      <c r="B742" s="12" t="s">
        <v>59</v>
      </c>
      <c r="C742" s="13" t="s">
        <v>112</v>
      </c>
      <c r="D742" s="3" t="s">
        <v>10</v>
      </c>
      <c r="E742" s="437">
        <v>0</v>
      </c>
      <c r="F742" s="591">
        <f>F672</f>
        <v>0</v>
      </c>
      <c r="G742" s="437">
        <v>0</v>
      </c>
      <c r="H742" s="593">
        <f>H672</f>
        <v>0</v>
      </c>
      <c r="K742" s="12" t="s">
        <v>59</v>
      </c>
      <c r="L742" s="13" t="s">
        <v>112</v>
      </c>
      <c r="M742" s="3" t="s">
        <v>10</v>
      </c>
      <c r="N742" s="437">
        <v>0</v>
      </c>
      <c r="O742" s="437">
        <f>IF(Provozování!$V$16="Neaktivní",0,F742)</f>
        <v>0</v>
      </c>
      <c r="P742" s="437">
        <v>0</v>
      </c>
      <c r="Q742" s="438">
        <f>IF(Provozování!$V$16="Neaktivní",0,H742)</f>
        <v>0</v>
      </c>
      <c r="T742" s="47" t="s">
        <v>59</v>
      </c>
      <c r="U742" s="13" t="s">
        <v>112</v>
      </c>
      <c r="V742" s="3" t="s">
        <v>10</v>
      </c>
      <c r="W742" s="591">
        <v>0</v>
      </c>
      <c r="X742" s="437">
        <f>F742</f>
        <v>0</v>
      </c>
      <c r="Y742" s="437">
        <f>W742-X742</f>
        <v>0</v>
      </c>
      <c r="Z742" s="591">
        <v>0</v>
      </c>
      <c r="AA742" s="437">
        <f>H742</f>
        <v>0</v>
      </c>
      <c r="AB742" s="438">
        <f>Z742-AA742</f>
        <v>0</v>
      </c>
      <c r="AC742" s="183"/>
      <c r="AD742" s="183"/>
      <c r="AE742" s="12" t="s">
        <v>430</v>
      </c>
      <c r="AF742" s="12" t="s">
        <v>431</v>
      </c>
      <c r="AG742" s="360">
        <f>Provozování!BH$97</f>
        <v>0</v>
      </c>
      <c r="AH742" s="360">
        <f ca="1">Provozování!BI$97</f>
        <v>0</v>
      </c>
      <c r="AK742" s="183"/>
      <c r="AL742" s="183"/>
      <c r="AM742" s="183"/>
      <c r="AN742" s="183"/>
    </row>
    <row r="743" spans="2:40" x14ac:dyDescent="0.25">
      <c r="B743" s="12" t="s">
        <v>60</v>
      </c>
      <c r="C743" s="13" t="s">
        <v>113</v>
      </c>
      <c r="D743" s="3" t="s">
        <v>10</v>
      </c>
      <c r="E743" s="437">
        <v>0</v>
      </c>
      <c r="F743" s="591">
        <f>F673</f>
        <v>0</v>
      </c>
      <c r="G743" s="437">
        <v>0</v>
      </c>
      <c r="H743" s="593">
        <f>H673</f>
        <v>0</v>
      </c>
      <c r="K743" s="12" t="s">
        <v>60</v>
      </c>
      <c r="L743" s="13" t="s">
        <v>113</v>
      </c>
      <c r="M743" s="3" t="s">
        <v>10</v>
      </c>
      <c r="N743" s="437">
        <v>0</v>
      </c>
      <c r="O743" s="437">
        <f>IF(Provozování!$V$16="Neaktivní",0,F743)</f>
        <v>0</v>
      </c>
      <c r="P743" s="437">
        <v>0</v>
      </c>
      <c r="Q743" s="438">
        <f>IF(Provozování!$V$16="Neaktivní",0,H743)</f>
        <v>0</v>
      </c>
      <c r="T743" s="12" t="s">
        <v>60</v>
      </c>
      <c r="U743" s="13" t="s">
        <v>113</v>
      </c>
      <c r="V743" s="3" t="s">
        <v>10</v>
      </c>
      <c r="W743" s="591">
        <v>0</v>
      </c>
      <c r="X743" s="437">
        <f>F743</f>
        <v>0</v>
      </c>
      <c r="Y743" s="437">
        <f>W743-X743</f>
        <v>0</v>
      </c>
      <c r="Z743" s="591">
        <v>0</v>
      </c>
      <c r="AA743" s="437">
        <f>H743</f>
        <v>0</v>
      </c>
      <c r="AB743" s="438">
        <f>Z743-AA743</f>
        <v>0</v>
      </c>
      <c r="AC743" s="183"/>
      <c r="AD743" s="183"/>
      <c r="AE743" s="554" t="s">
        <v>434</v>
      </c>
      <c r="AF743" s="555"/>
      <c r="AG743" s="959">
        <f>(AG737*AG738-AG737*AG739)+(AG740-AG741)-AG742</f>
        <v>0</v>
      </c>
      <c r="AH743" s="959">
        <f ca="1">(AH737*AH738-AH737*AH739)+(AH740-AH741)-AH742</f>
        <v>0</v>
      </c>
      <c r="AK743" s="183"/>
      <c r="AL743" s="183"/>
      <c r="AM743" s="183"/>
      <c r="AN743" s="183"/>
    </row>
    <row r="744" spans="2:40" x14ac:dyDescent="0.25">
      <c r="B744" s="12" t="s">
        <v>61</v>
      </c>
      <c r="C744" s="13" t="s">
        <v>62</v>
      </c>
      <c r="D744" s="3" t="s">
        <v>63</v>
      </c>
      <c r="E744" s="439">
        <v>0</v>
      </c>
      <c r="F744" s="592">
        <f>F674</f>
        <v>0</v>
      </c>
      <c r="G744" s="439">
        <v>0</v>
      </c>
      <c r="H744" s="592">
        <f>H674</f>
        <v>0</v>
      </c>
      <c r="K744" s="12" t="s">
        <v>61</v>
      </c>
      <c r="L744" s="13" t="s">
        <v>62</v>
      </c>
      <c r="M744" s="3" t="s">
        <v>63</v>
      </c>
      <c r="N744" s="439">
        <v>0</v>
      </c>
      <c r="O744" s="439">
        <f>IF(Provozování!$V$16="Neaktivní",0,F744)</f>
        <v>0</v>
      </c>
      <c r="P744" s="439">
        <v>0</v>
      </c>
      <c r="Q744" s="440">
        <f>IF(Provozování!$V$16="Neaktivní",0,H744)</f>
        <v>0</v>
      </c>
      <c r="T744" s="12" t="s">
        <v>61</v>
      </c>
      <c r="U744" s="13" t="s">
        <v>62</v>
      </c>
      <c r="V744" s="3" t="s">
        <v>63</v>
      </c>
      <c r="W744" s="599">
        <v>0</v>
      </c>
      <c r="X744" s="439">
        <f>F744</f>
        <v>0</v>
      </c>
      <c r="Y744" s="440">
        <f>W744-X744</f>
        <v>0</v>
      </c>
      <c r="Z744" s="599">
        <v>0</v>
      </c>
      <c r="AA744" s="439">
        <f>H744</f>
        <v>0</v>
      </c>
      <c r="AB744" s="440">
        <f>Z744-AA744</f>
        <v>0</v>
      </c>
      <c r="AC744" s="183"/>
      <c r="AD744" s="183"/>
      <c r="AE744" s="544" t="s">
        <v>432</v>
      </c>
      <c r="AF744" s="543"/>
      <c r="AG744" s="960"/>
      <c r="AH744" s="960"/>
      <c r="AK744" s="183"/>
      <c r="AL744" s="183"/>
      <c r="AM744" s="183"/>
      <c r="AN744" s="183"/>
    </row>
    <row r="745" spans="2:40" x14ac:dyDescent="0.25">
      <c r="B745" s="12" t="s">
        <v>64</v>
      </c>
      <c r="C745" s="13" t="s">
        <v>65</v>
      </c>
      <c r="D745" s="3" t="s">
        <v>66</v>
      </c>
      <c r="E745" s="49">
        <v>0</v>
      </c>
      <c r="F745" s="49">
        <f>IF(YEAR(Postup!$H$25)&gt;$D$704,Provozování!BH47,IF(AND(DAY(Postup!$H$25)=31,MONTH(Postup!$H$25)=12,YEAR(Postup!$H$25)=$D$704),Provozování!BH47,IF(YEAR(Postup!$H$25)=$D$704,Provozování!$BL47,0)))</f>
        <v>0</v>
      </c>
      <c r="G745" s="49">
        <v>0</v>
      </c>
      <c r="H745" s="442">
        <v>0</v>
      </c>
      <c r="K745" s="12" t="s">
        <v>64</v>
      </c>
      <c r="L745" s="13" t="s">
        <v>65</v>
      </c>
      <c r="M745" s="3" t="s">
        <v>66</v>
      </c>
      <c r="N745" s="49">
        <v>0</v>
      </c>
      <c r="O745" s="49">
        <f>IF(Provozování!$BJ$16="Neaktivní",0,Provozování!BJ47)</f>
        <v>0</v>
      </c>
      <c r="P745" s="49">
        <v>0</v>
      </c>
      <c r="Q745" s="442">
        <v>0</v>
      </c>
      <c r="T745" s="12" t="s">
        <v>64</v>
      </c>
      <c r="U745" s="13" t="s">
        <v>65</v>
      </c>
      <c r="V745" s="3" t="s">
        <v>66</v>
      </c>
      <c r="W745" s="595">
        <v>0</v>
      </c>
      <c r="X745" s="49">
        <f>IF(Provozování!$BJ$16="Neaktivní",F745,F745*Výpočty!$R$58+O745)</f>
        <v>0</v>
      </c>
      <c r="Y745" s="49">
        <f>W745-X745</f>
        <v>0</v>
      </c>
      <c r="Z745" s="445">
        <v>0</v>
      </c>
      <c r="AA745" s="445">
        <v>0</v>
      </c>
      <c r="AB745" s="442">
        <v>0</v>
      </c>
      <c r="AC745" s="183"/>
      <c r="AD745" s="183"/>
      <c r="AE745" s="963" t="s">
        <v>416</v>
      </c>
      <c r="AF745" s="964"/>
      <c r="AG745" s="957" t="str">
        <f>IF(AG743&gt;0,"úspora",IF(AG743&lt;0,"ztráta provozovatele","-"))</f>
        <v>-</v>
      </c>
      <c r="AH745" s="957" t="str">
        <f ca="1">IF(AH743&gt;0,"úspora",IF(AH743&lt;0,"ztráta provozovatele","-"))</f>
        <v>-</v>
      </c>
      <c r="AK745" s="183"/>
      <c r="AL745" s="183"/>
      <c r="AM745" s="183"/>
      <c r="AN745" s="183"/>
    </row>
    <row r="746" spans="2:40" x14ac:dyDescent="0.25">
      <c r="B746" s="12" t="s">
        <v>67</v>
      </c>
      <c r="C746" s="13" t="s">
        <v>68</v>
      </c>
      <c r="D746" s="3" t="s">
        <v>66</v>
      </c>
      <c r="E746" s="49">
        <v>0</v>
      </c>
      <c r="F746" s="49">
        <f>IF(YEAR(Postup!$H$25)&gt;$D$704,Provozování!BH48,IF(AND(DAY(Postup!$H$25)=31,MONTH(Postup!$H$25)=12,YEAR(Postup!$H$25)=$D$704),Provozování!BH48,IF(YEAR(Postup!$H$25)=$D$704,Provozování!$BL48,0)))</f>
        <v>0</v>
      </c>
      <c r="G746" s="49">
        <v>0</v>
      </c>
      <c r="H746" s="442">
        <v>0</v>
      </c>
      <c r="K746" s="12" t="s">
        <v>67</v>
      </c>
      <c r="L746" s="13" t="s">
        <v>68</v>
      </c>
      <c r="M746" s="3" t="s">
        <v>66</v>
      </c>
      <c r="N746" s="49">
        <v>0</v>
      </c>
      <c r="O746" s="49">
        <f>IF(Provozování!$BJ$16="Neaktivní",0,Provozování!BJ48)</f>
        <v>0</v>
      </c>
      <c r="P746" s="49">
        <v>0</v>
      </c>
      <c r="Q746" s="442">
        <v>0</v>
      </c>
      <c r="T746" s="12" t="s">
        <v>67</v>
      </c>
      <c r="U746" s="13" t="s">
        <v>68</v>
      </c>
      <c r="V746" s="3" t="s">
        <v>66</v>
      </c>
      <c r="W746" s="595">
        <v>0</v>
      </c>
      <c r="X746" s="49">
        <f>IF(Provozování!$BJ$16="Neaktivní",F746,F746*Výpočty!$R$58+O746)</f>
        <v>0</v>
      </c>
      <c r="Y746" s="49">
        <f>W746-X746</f>
        <v>0</v>
      </c>
      <c r="Z746" s="445">
        <v>0</v>
      </c>
      <c r="AA746" s="445">
        <v>0</v>
      </c>
      <c r="AB746" s="442">
        <v>0</v>
      </c>
      <c r="AC746" s="183"/>
      <c r="AD746" s="183"/>
      <c r="AE746" s="965"/>
      <c r="AF746" s="966"/>
      <c r="AG746" s="958"/>
      <c r="AH746" s="958"/>
      <c r="AK746" s="183"/>
      <c r="AL746" s="183"/>
      <c r="AM746" s="183"/>
      <c r="AN746" s="183"/>
    </row>
    <row r="747" spans="2:40" x14ac:dyDescent="0.25">
      <c r="B747" s="12" t="s">
        <v>69</v>
      </c>
      <c r="C747" s="13" t="s">
        <v>70</v>
      </c>
      <c r="D747" s="3" t="s">
        <v>66</v>
      </c>
      <c r="E747" s="49">
        <v>0</v>
      </c>
      <c r="F747" s="445">
        <v>0</v>
      </c>
      <c r="G747" s="49">
        <v>0</v>
      </c>
      <c r="H747" s="32">
        <f>IF(YEAR(Postup!$H$25)&gt;$D$704,Provozování!BI49,IF(AND(DAY(Postup!$H$25)=31,MONTH(Postup!$H$25)=12,YEAR(Postup!$H$25)=$D$704),Provozování!BI49,IF(YEAR(Postup!$H$25)=$D$704,Provozování!$BM49,0)))</f>
        <v>0</v>
      </c>
      <c r="K747" s="12" t="s">
        <v>69</v>
      </c>
      <c r="L747" s="13" t="s">
        <v>70</v>
      </c>
      <c r="M747" s="3" t="s">
        <v>66</v>
      </c>
      <c r="N747" s="49">
        <v>0</v>
      </c>
      <c r="O747" s="445">
        <v>0</v>
      </c>
      <c r="P747" s="49">
        <v>0</v>
      </c>
      <c r="Q747" s="59">
        <f>IF(Provozování!$BJ$16="Neaktivní",0,Provozování!BK49)</f>
        <v>0</v>
      </c>
      <c r="T747" s="12" t="s">
        <v>69</v>
      </c>
      <c r="U747" s="13" t="s">
        <v>70</v>
      </c>
      <c r="V747" s="3" t="s">
        <v>66</v>
      </c>
      <c r="W747" s="445">
        <v>0</v>
      </c>
      <c r="X747" s="445">
        <v>0</v>
      </c>
      <c r="Y747" s="445">
        <v>0</v>
      </c>
      <c r="Z747" s="595">
        <v>0</v>
      </c>
      <c r="AA747" s="49">
        <f>IF(Provozování!$BJ$16="Neaktivní",H747,H747*Výpočty!$R$58+Q747)</f>
        <v>0</v>
      </c>
      <c r="AB747" s="32">
        <f t="shared" ref="AB747:AB752" si="310">Z747-AA747</f>
        <v>0</v>
      </c>
      <c r="AC747" s="183"/>
      <c r="AD747" s="183"/>
      <c r="AE747" s="533" t="s">
        <v>422</v>
      </c>
      <c r="AF747" s="533"/>
      <c r="AG747" s="453">
        <f>IF(AG743&gt;0,AG743/AG740,0)</f>
        <v>0</v>
      </c>
      <c r="AH747" s="453">
        <f ca="1">IF(AH743&gt;0,AH743/AH740,0)</f>
        <v>0</v>
      </c>
      <c r="AK747" s="183"/>
      <c r="AL747" s="183"/>
      <c r="AM747" s="183"/>
      <c r="AN747" s="183"/>
    </row>
    <row r="748" spans="2:40" x14ac:dyDescent="0.25">
      <c r="B748" s="12" t="s">
        <v>71</v>
      </c>
      <c r="C748" s="13" t="s">
        <v>68</v>
      </c>
      <c r="D748" s="3" t="s">
        <v>66</v>
      </c>
      <c r="E748" s="49">
        <v>0</v>
      </c>
      <c r="F748" s="445">
        <v>0</v>
      </c>
      <c r="G748" s="49">
        <v>0</v>
      </c>
      <c r="H748" s="32">
        <f>IF(YEAR(Postup!$H$25)&gt;$D$704,Provozování!BI50,IF(AND(DAY(Postup!$H$25)=31,MONTH(Postup!$H$25)=12,YEAR(Postup!$H$25)=$D$704),Provozování!BI50,IF(YEAR(Postup!$H$25)=$D$704,Provozování!$BM50,0)))</f>
        <v>0</v>
      </c>
      <c r="K748" s="12" t="s">
        <v>71</v>
      </c>
      <c r="L748" s="13" t="s">
        <v>68</v>
      </c>
      <c r="M748" s="3" t="s">
        <v>66</v>
      </c>
      <c r="N748" s="49">
        <v>0</v>
      </c>
      <c r="O748" s="445">
        <v>0</v>
      </c>
      <c r="P748" s="49">
        <v>0</v>
      </c>
      <c r="Q748" s="59">
        <f>IF(Provozování!$BJ$16="Neaktivní",0,Provozování!BK50)</f>
        <v>0</v>
      </c>
      <c r="T748" s="12" t="s">
        <v>71</v>
      </c>
      <c r="U748" s="13" t="s">
        <v>68</v>
      </c>
      <c r="V748" s="3" t="s">
        <v>66</v>
      </c>
      <c r="W748" s="445">
        <v>0</v>
      </c>
      <c r="X748" s="445">
        <v>0</v>
      </c>
      <c r="Y748" s="445">
        <v>0</v>
      </c>
      <c r="Z748" s="595">
        <v>0</v>
      </c>
      <c r="AA748" s="49">
        <f>IF(Provozování!$BJ$16="Neaktivní",H748,H748*Výpočty!$R$58+Q748)</f>
        <v>0</v>
      </c>
      <c r="AB748" s="32">
        <f t="shared" si="310"/>
        <v>0</v>
      </c>
      <c r="AC748" s="183"/>
      <c r="AD748" s="183"/>
      <c r="AE748" s="556" t="s">
        <v>402</v>
      </c>
      <c r="AF748" s="556"/>
      <c r="AG748" s="961">
        <f>IF(AG747&gt;0,AG740*AI749*0.5,0)</f>
        <v>0</v>
      </c>
      <c r="AH748" s="961">
        <f ca="1">IF(AH747&gt;0,AH740*AJ749*0.5,0)</f>
        <v>0</v>
      </c>
      <c r="AK748" s="183"/>
      <c r="AL748" s="183"/>
      <c r="AM748" s="183"/>
      <c r="AN748" s="183"/>
    </row>
    <row r="749" spans="2:40" x14ac:dyDescent="0.25">
      <c r="B749" s="12" t="s">
        <v>72</v>
      </c>
      <c r="C749" s="13" t="s">
        <v>73</v>
      </c>
      <c r="D749" s="3" t="s">
        <v>66</v>
      </c>
      <c r="E749" s="49">
        <v>0</v>
      </c>
      <c r="F749" s="445">
        <v>0</v>
      </c>
      <c r="G749" s="49">
        <v>0</v>
      </c>
      <c r="H749" s="32">
        <f>IF(YEAR(Postup!$H$25)&gt;$D$704,Provozování!BI51,IF(AND(DAY(Postup!$H$25)=31,MONTH(Postup!$H$25)=12,YEAR(Postup!$H$25)=$D$704),Provozování!BI51,IF(YEAR(Postup!$H$25)=$D$704,Provozování!$BM51,0)))</f>
        <v>0</v>
      </c>
      <c r="K749" s="12" t="s">
        <v>72</v>
      </c>
      <c r="L749" s="13" t="s">
        <v>73</v>
      </c>
      <c r="M749" s="3" t="s">
        <v>66</v>
      </c>
      <c r="N749" s="49">
        <v>0</v>
      </c>
      <c r="O749" s="445">
        <v>0</v>
      </c>
      <c r="P749" s="49">
        <v>0</v>
      </c>
      <c r="Q749" s="59">
        <f>IF(Provozování!$BJ$16="Neaktivní",0,Provozování!BK51)</f>
        <v>0</v>
      </c>
      <c r="T749" s="12" t="s">
        <v>72</v>
      </c>
      <c r="U749" s="13" t="s">
        <v>73</v>
      </c>
      <c r="V749" s="3" t="s">
        <v>66</v>
      </c>
      <c r="W749" s="445">
        <v>0</v>
      </c>
      <c r="X749" s="445">
        <v>0</v>
      </c>
      <c r="Y749" s="445">
        <v>0</v>
      </c>
      <c r="Z749" s="595">
        <v>0</v>
      </c>
      <c r="AA749" s="49">
        <f>IF(Provozování!$BJ$16="Neaktivní",H749,H749*Výpočty!$R$58+Q749)</f>
        <v>0</v>
      </c>
      <c r="AB749" s="32">
        <f t="shared" si="310"/>
        <v>0</v>
      </c>
      <c r="AC749" s="183"/>
      <c r="AD749" s="183"/>
      <c r="AE749" s="557" t="s">
        <v>413</v>
      </c>
      <c r="AF749" s="557"/>
      <c r="AG749" s="962"/>
      <c r="AH749" s="962"/>
      <c r="AI749" s="454">
        <f>IF(AG747&gt;0.05,0.05,AG747)</f>
        <v>0</v>
      </c>
      <c r="AJ749" s="454">
        <f ca="1">IF(AH747&gt;0.05,0.05,AH747)</f>
        <v>0</v>
      </c>
      <c r="AK749" s="183"/>
      <c r="AL749" s="183"/>
      <c r="AM749" s="183"/>
      <c r="AN749" s="183"/>
    </row>
    <row r="750" spans="2:40" x14ac:dyDescent="0.25">
      <c r="B750" s="12" t="s">
        <v>74</v>
      </c>
      <c r="C750" s="13" t="s">
        <v>75</v>
      </c>
      <c r="D750" s="3" t="s">
        <v>66</v>
      </c>
      <c r="E750" s="49">
        <v>0</v>
      </c>
      <c r="F750" s="445">
        <v>0</v>
      </c>
      <c r="G750" s="49">
        <v>0</v>
      </c>
      <c r="H750" s="32">
        <f>IF(YEAR(Postup!$H$25)&gt;$D$704,Provozování!BI52,IF(AND(DAY(Postup!$H$25)=31,MONTH(Postup!$H$25)=12,YEAR(Postup!$H$25)=$D$704),Provozování!BI52,IF(YEAR(Postup!$H$25)=$D$704,Provozování!$BM52,0)))</f>
        <v>0</v>
      </c>
      <c r="K750" s="12" t="s">
        <v>74</v>
      </c>
      <c r="L750" s="13" t="s">
        <v>75</v>
      </c>
      <c r="M750" s="3" t="s">
        <v>66</v>
      </c>
      <c r="N750" s="49">
        <v>0</v>
      </c>
      <c r="O750" s="445">
        <v>0</v>
      </c>
      <c r="P750" s="49">
        <v>0</v>
      </c>
      <c r="Q750" s="59">
        <f>IF(Provozování!$BJ$16="Neaktivní",0,Provozování!BK52)</f>
        <v>0</v>
      </c>
      <c r="T750" s="12" t="s">
        <v>74</v>
      </c>
      <c r="U750" s="13" t="s">
        <v>75</v>
      </c>
      <c r="V750" s="3" t="s">
        <v>66</v>
      </c>
      <c r="W750" s="445">
        <v>0</v>
      </c>
      <c r="X750" s="445">
        <v>0</v>
      </c>
      <c r="Y750" s="445">
        <v>0</v>
      </c>
      <c r="Z750" s="595">
        <v>0</v>
      </c>
      <c r="AA750" s="49">
        <f>IF(Provozování!$BJ$16="Neaktivní",H750,H750*Výpočty!$R$58+Q750)</f>
        <v>0</v>
      </c>
      <c r="AB750" s="32">
        <f t="shared" si="310"/>
        <v>0</v>
      </c>
      <c r="AC750" s="183"/>
      <c r="AD750" s="183"/>
      <c r="AE750" s="534" t="s">
        <v>414</v>
      </c>
      <c r="AF750" s="534"/>
      <c r="AG750" s="360">
        <f>IF(AI750&gt;0,AG740*(AI750-0.05)*0.8,0)</f>
        <v>0</v>
      </c>
      <c r="AH750" s="360">
        <f ca="1">IF(AJ750&gt;0,AH740*(AJ750-0.05)*0.8,0)</f>
        <v>0</v>
      </c>
      <c r="AI750" s="454">
        <f>IF(AND(AG747&gt;0.05,AG747&lt;=0.1),AG747,IF(AG747&lt;=0.05,0,0.1))</f>
        <v>0</v>
      </c>
      <c r="AJ750" s="454">
        <f ca="1">IF(AND(AH747&gt;0.05,AH747&lt;=0.1),AH747,IF(AH747&lt;=0.05,0,0.1))</f>
        <v>0</v>
      </c>
      <c r="AK750" s="183"/>
      <c r="AL750" s="183"/>
      <c r="AM750" s="183"/>
      <c r="AN750" s="183"/>
    </row>
    <row r="751" spans="2:40" x14ac:dyDescent="0.25">
      <c r="B751" s="12" t="s">
        <v>76</v>
      </c>
      <c r="C751" s="13" t="s">
        <v>77</v>
      </c>
      <c r="D751" s="3" t="s">
        <v>66</v>
      </c>
      <c r="E751" s="49">
        <v>0</v>
      </c>
      <c r="F751" s="49">
        <f>IF(YEAR(Postup!$H$25)&gt;$D$704,Provozování!BH53,IF(AND(DAY(Postup!$H$25)=31,MONTH(Postup!$H$25)=12,YEAR(Postup!$H$25)=$D$704),Provozování!BH53,IF(YEAR(Postup!$H$25)=$D$704,Provozování!$BL53,0)))</f>
        <v>0</v>
      </c>
      <c r="G751" s="49">
        <v>0</v>
      </c>
      <c r="H751" s="32">
        <f>IF(YEAR(Postup!$H$25)&gt;$D$704,Provozování!BI53,IF(AND(DAY(Postup!$H$25)=31,MONTH(Postup!$H$25)=12,YEAR(Postup!$H$25)=$D$704),Provozování!BI53,IF(YEAR(Postup!$H$25)=$D$704,Provozování!$BM53,0)))</f>
        <v>0</v>
      </c>
      <c r="K751" s="12" t="s">
        <v>76</v>
      </c>
      <c r="L751" s="13" t="s">
        <v>77</v>
      </c>
      <c r="M751" s="3" t="s">
        <v>66</v>
      </c>
      <c r="N751" s="49">
        <v>0</v>
      </c>
      <c r="O751" s="49">
        <f>IF(Provozování!$BJ$16="Neaktivní",0,Provozování!BJ53)</f>
        <v>0</v>
      </c>
      <c r="P751" s="49">
        <v>0</v>
      </c>
      <c r="Q751" s="59">
        <f>IF(Provozování!$BJ$16="Neaktivní",0,Provozování!BK53)</f>
        <v>0</v>
      </c>
      <c r="T751" s="12" t="s">
        <v>76</v>
      </c>
      <c r="U751" s="13" t="s">
        <v>77</v>
      </c>
      <c r="V751" s="3" t="s">
        <v>66</v>
      </c>
      <c r="W751" s="595">
        <v>0</v>
      </c>
      <c r="X751" s="49">
        <f>IF(Provozování!$BJ$16="Neaktivní",F751,F751*Výpočty!$R$58+O751)</f>
        <v>0</v>
      </c>
      <c r="Y751" s="49">
        <f>W751-X751</f>
        <v>0</v>
      </c>
      <c r="Z751" s="595">
        <v>0</v>
      </c>
      <c r="AA751" s="49">
        <f>IF(Provozování!$BJ$16="Neaktivní",H751,H751*Výpočty!$R$58+Q751)</f>
        <v>0</v>
      </c>
      <c r="AB751" s="32">
        <f t="shared" si="310"/>
        <v>0</v>
      </c>
      <c r="AC751" s="183"/>
      <c r="AD751" s="183"/>
      <c r="AE751" s="534" t="s">
        <v>415</v>
      </c>
      <c r="AF751" s="534"/>
      <c r="AG751" s="360">
        <f>IF(AI751&gt;0,AG740*(AI751-0.1)*1,0)</f>
        <v>0</v>
      </c>
      <c r="AH751" s="360">
        <f ca="1">IF(AJ751&gt;0,AH740*(AJ751-0.1)*1,0)</f>
        <v>0</v>
      </c>
      <c r="AI751" s="454">
        <f>IF(AG747&gt;0.1,AG747,0)</f>
        <v>0</v>
      </c>
      <c r="AJ751" s="454">
        <f ca="1">IF(AH747&gt;0.1,AH747,0)</f>
        <v>0</v>
      </c>
      <c r="AK751" s="183"/>
      <c r="AL751" s="183"/>
      <c r="AM751" s="183"/>
      <c r="AN751" s="183"/>
    </row>
    <row r="752" spans="2:40" x14ac:dyDescent="0.25">
      <c r="B752" s="12" t="s">
        <v>78</v>
      </c>
      <c r="C752" s="13" t="s">
        <v>79</v>
      </c>
      <c r="D752" s="3" t="s">
        <v>66</v>
      </c>
      <c r="E752" s="49">
        <v>0</v>
      </c>
      <c r="F752" s="49">
        <f>IF(YEAR(Postup!$H$25)&gt;$D$704,Provozování!BH54,IF(AND(DAY(Postup!$H$25)=31,MONTH(Postup!$H$25)=12,YEAR(Postup!$H$25)=$D$704),Provozování!BH54,IF(YEAR(Postup!$H$25)=$D$704,Provozování!$BL54,0)))</f>
        <v>0</v>
      </c>
      <c r="G752" s="49">
        <v>0</v>
      </c>
      <c r="H752" s="32">
        <f>IF(YEAR(Postup!$H$25)&gt;$D$704,Provozování!BI54,IF(AND(DAY(Postup!$H$25)=31,MONTH(Postup!$H$25)=12,YEAR(Postup!$H$25)=$D$704),Provozování!BI54,IF(YEAR(Postup!$H$25)=$D$704,Provozování!$BM54,0)))</f>
        <v>0</v>
      </c>
      <c r="K752" s="12" t="s">
        <v>78</v>
      </c>
      <c r="L752" s="13" t="s">
        <v>79</v>
      </c>
      <c r="M752" s="3" t="s">
        <v>66</v>
      </c>
      <c r="N752" s="49">
        <v>0</v>
      </c>
      <c r="O752" s="49">
        <f>IF(Provozování!$BJ$16="Neaktivní",0,Provozování!BJ54)</f>
        <v>0</v>
      </c>
      <c r="P752" s="49">
        <v>0</v>
      </c>
      <c r="Q752" s="32">
        <f>IF(Provozování!$BJ$16="Neaktivní",0,Provozování!BK54)</f>
        <v>0</v>
      </c>
      <c r="T752" s="12" t="s">
        <v>78</v>
      </c>
      <c r="U752" s="13" t="s">
        <v>79</v>
      </c>
      <c r="V752" s="3" t="s">
        <v>66</v>
      </c>
      <c r="W752" s="595">
        <v>0</v>
      </c>
      <c r="X752" s="49">
        <f>IF(Provozování!$BJ$16="Neaktivní",F752,F752*Výpočty!$R$58+O752)</f>
        <v>0</v>
      </c>
      <c r="Y752" s="49">
        <f>W752-X752</f>
        <v>0</v>
      </c>
      <c r="Z752" s="595">
        <v>0</v>
      </c>
      <c r="AA752" s="49">
        <f>IF(Provozování!$BJ$16="Neaktivní",H752,H752*Výpočty!$R$58+Q752)</f>
        <v>0</v>
      </c>
      <c r="AB752" s="32">
        <f t="shared" si="310"/>
        <v>0</v>
      </c>
      <c r="AC752" s="183"/>
      <c r="AD752" s="183"/>
      <c r="AE752" s="532" t="s">
        <v>403</v>
      </c>
      <c r="AF752" s="532"/>
      <c r="AG752" s="455">
        <f>SUM(AG748:AG751)</f>
        <v>0</v>
      </c>
      <c r="AH752" s="455">
        <f ca="1">SUM(AH748:AH751)</f>
        <v>0</v>
      </c>
      <c r="AK752" s="183"/>
      <c r="AL752" s="183"/>
      <c r="AM752" s="183"/>
      <c r="AN752" s="183"/>
    </row>
    <row r="753" spans="2:40" x14ac:dyDescent="0.25">
      <c r="B753" s="1"/>
      <c r="C753" s="1"/>
      <c r="D753" s="1"/>
      <c r="E753" s="1"/>
      <c r="F753" s="456"/>
      <c r="G753" s="1"/>
      <c r="H753" s="456"/>
      <c r="K753" s="1"/>
      <c r="L753" s="1"/>
      <c r="M753" s="1"/>
      <c r="N753" s="1"/>
      <c r="O753" s="1"/>
      <c r="P753" s="1"/>
      <c r="Q753" s="1"/>
      <c r="T753" s="1"/>
      <c r="U753" s="1"/>
      <c r="V753" s="1"/>
      <c r="W753" s="1"/>
      <c r="X753" s="1"/>
      <c r="Y753" s="1"/>
      <c r="Z753" s="1"/>
      <c r="AA753" s="1"/>
      <c r="AB753" s="1"/>
      <c r="AC753" s="183"/>
      <c r="AD753" s="183"/>
      <c r="AE753" s="183"/>
      <c r="AF753" s="183"/>
      <c r="AG753" s="183"/>
      <c r="AH753" s="183"/>
      <c r="AI753" s="183"/>
      <c r="AJ753" s="183"/>
      <c r="AK753" s="183"/>
      <c r="AL753" s="183"/>
      <c r="AM753" s="183"/>
      <c r="AN753" s="183"/>
    </row>
    <row r="754" spans="2:40" x14ac:dyDescent="0.25">
      <c r="B754" s="932" t="s">
        <v>5</v>
      </c>
      <c r="C754" s="721" t="s">
        <v>80</v>
      </c>
      <c r="D754" s="722"/>
      <c r="E754" s="723"/>
      <c r="F754" s="724"/>
      <c r="G754" s="722"/>
      <c r="H754" s="725"/>
      <c r="K754" s="932" t="s">
        <v>5</v>
      </c>
      <c r="L754" s="721" t="s">
        <v>80</v>
      </c>
      <c r="M754" s="722"/>
      <c r="N754" s="723"/>
      <c r="O754" s="724"/>
      <c r="P754" s="722"/>
      <c r="Q754" s="725"/>
      <c r="T754" s="771" t="s">
        <v>5</v>
      </c>
      <c r="U754" s="721" t="s">
        <v>80</v>
      </c>
      <c r="V754" s="722"/>
      <c r="W754" s="723"/>
      <c r="X754" s="723"/>
      <c r="Y754" s="724"/>
      <c r="Z754" s="722"/>
      <c r="AA754" s="722"/>
      <c r="AB754" s="725"/>
      <c r="AC754" s="183"/>
      <c r="AD754" s="183"/>
      <c r="AE754" s="183"/>
      <c r="AF754" s="183"/>
      <c r="AG754" s="183"/>
      <c r="AH754" s="183"/>
      <c r="AI754" s="183"/>
      <c r="AJ754" s="183"/>
      <c r="AK754" s="183"/>
      <c r="AL754" s="183"/>
      <c r="AM754" s="183"/>
      <c r="AN754" s="183"/>
    </row>
    <row r="755" spans="2:40" x14ac:dyDescent="0.25">
      <c r="B755" s="930"/>
      <c r="C755" s="932" t="s">
        <v>81</v>
      </c>
      <c r="D755" s="929" t="s">
        <v>173</v>
      </c>
      <c r="E755" s="874" t="s">
        <v>118</v>
      </c>
      <c r="F755" s="937"/>
      <c r="G755" s="26" t="s">
        <v>3</v>
      </c>
      <c r="H755" s="23" t="s">
        <v>4</v>
      </c>
      <c r="K755" s="930"/>
      <c r="L755" s="5" t="s">
        <v>81</v>
      </c>
      <c r="M755" s="929" t="s">
        <v>173</v>
      </c>
      <c r="N755" s="874" t="s">
        <v>118</v>
      </c>
      <c r="O755" s="937"/>
      <c r="P755" s="26" t="s">
        <v>3</v>
      </c>
      <c r="Q755" s="23" t="s">
        <v>4</v>
      </c>
      <c r="T755" s="934"/>
      <c r="U755" s="932" t="s">
        <v>81</v>
      </c>
      <c r="V755" s="929" t="s">
        <v>173</v>
      </c>
      <c r="W755" s="874" t="s">
        <v>118</v>
      </c>
      <c r="X755" s="937"/>
      <c r="Y755" s="874" t="s">
        <v>3</v>
      </c>
      <c r="Z755" s="939"/>
      <c r="AA755" s="940" t="s">
        <v>4</v>
      </c>
      <c r="AB755" s="940"/>
      <c r="AC755" s="183"/>
      <c r="AD755" s="183"/>
      <c r="AE755" s="183"/>
      <c r="AF755" s="183"/>
      <c r="AG755" s="183"/>
      <c r="AH755" s="183"/>
      <c r="AI755" s="183"/>
      <c r="AJ755" s="183"/>
      <c r="AK755" s="183"/>
      <c r="AL755" s="183"/>
      <c r="AM755" s="183"/>
      <c r="AN755" s="183"/>
    </row>
    <row r="756" spans="2:40" x14ac:dyDescent="0.25">
      <c r="B756" s="931"/>
      <c r="C756" s="931"/>
      <c r="D756" s="936"/>
      <c r="E756" s="875"/>
      <c r="F756" s="938"/>
      <c r="G756" s="27" t="s">
        <v>7</v>
      </c>
      <c r="H756" s="24" t="s">
        <v>7</v>
      </c>
      <c r="K756" s="931"/>
      <c r="L756" s="8"/>
      <c r="M756" s="936"/>
      <c r="N756" s="875"/>
      <c r="O756" s="938"/>
      <c r="P756" s="27" t="s">
        <v>7</v>
      </c>
      <c r="Q756" s="24" t="s">
        <v>7</v>
      </c>
      <c r="T756" s="935"/>
      <c r="U756" s="931"/>
      <c r="V756" s="936"/>
      <c r="W756" s="875"/>
      <c r="X756" s="938"/>
      <c r="Y756" s="40" t="s">
        <v>196</v>
      </c>
      <c r="Z756" s="40" t="s">
        <v>7</v>
      </c>
      <c r="AA756" s="40" t="s">
        <v>196</v>
      </c>
      <c r="AB756" s="40" t="s">
        <v>7</v>
      </c>
      <c r="AC756" s="183"/>
      <c r="AD756" s="183"/>
      <c r="AE756" s="183"/>
      <c r="AF756" s="183"/>
      <c r="AG756" s="183"/>
      <c r="AH756" s="183"/>
      <c r="AI756" s="183"/>
      <c r="AJ756" s="183"/>
      <c r="AK756" s="183"/>
      <c r="AL756" s="183"/>
      <c r="AM756" s="183"/>
      <c r="AN756" s="183"/>
    </row>
    <row r="757" spans="2:40" x14ac:dyDescent="0.25">
      <c r="B757" s="11">
        <v>1</v>
      </c>
      <c r="C757" s="11">
        <v>2</v>
      </c>
      <c r="D757" s="11" t="s">
        <v>111</v>
      </c>
      <c r="E757" s="735" t="s">
        <v>115</v>
      </c>
      <c r="F757" s="736"/>
      <c r="G757" s="11" t="s">
        <v>116</v>
      </c>
      <c r="H757" s="22" t="s">
        <v>117</v>
      </c>
      <c r="K757" s="11">
        <v>1</v>
      </c>
      <c r="L757" s="11">
        <v>2</v>
      </c>
      <c r="M757" s="11" t="s">
        <v>111</v>
      </c>
      <c r="N757" s="735" t="s">
        <v>115</v>
      </c>
      <c r="O757" s="736"/>
      <c r="P757" s="11" t="s">
        <v>116</v>
      </c>
      <c r="Q757" s="22" t="s">
        <v>117</v>
      </c>
      <c r="T757" s="11">
        <v>1</v>
      </c>
      <c r="U757" s="11">
        <v>2</v>
      </c>
      <c r="V757" s="11" t="s">
        <v>111</v>
      </c>
      <c r="W757" s="944" t="s">
        <v>115</v>
      </c>
      <c r="X757" s="945"/>
      <c r="Y757" s="11" t="s">
        <v>201</v>
      </c>
      <c r="Z757" s="11" t="s">
        <v>116</v>
      </c>
      <c r="AA757" s="11" t="s">
        <v>200</v>
      </c>
      <c r="AB757" s="22" t="s">
        <v>117</v>
      </c>
      <c r="AC757" s="183"/>
      <c r="AD757" s="183"/>
      <c r="AE757" s="183"/>
      <c r="AF757" s="183"/>
      <c r="AG757" s="183"/>
      <c r="AH757" s="183"/>
      <c r="AI757" s="183"/>
      <c r="AJ757" s="183"/>
      <c r="AK757" s="183"/>
      <c r="AL757" s="183"/>
      <c r="AM757" s="183"/>
      <c r="AN757" s="183"/>
    </row>
    <row r="758" spans="2:40" x14ac:dyDescent="0.25">
      <c r="B758" s="12" t="s">
        <v>82</v>
      </c>
      <c r="C758" s="13" t="s">
        <v>127</v>
      </c>
      <c r="D758" s="13" t="s">
        <v>83</v>
      </c>
      <c r="E758" s="732" t="s">
        <v>120</v>
      </c>
      <c r="F758" s="733"/>
      <c r="G758" s="171">
        <f>IF(G764=0,0,G759/G764)</f>
        <v>0</v>
      </c>
      <c r="H758" s="172">
        <f>IF(H764=0,0,H759/H764)</f>
        <v>0</v>
      </c>
      <c r="K758" s="12" t="s">
        <v>82</v>
      </c>
      <c r="L758" s="13" t="s">
        <v>127</v>
      </c>
      <c r="M758" s="13" t="s">
        <v>83</v>
      </c>
      <c r="N758" s="732" t="s">
        <v>120</v>
      </c>
      <c r="O758" s="733"/>
      <c r="P758" s="171">
        <f>IF(P764=0,0,P759/P764)</f>
        <v>0</v>
      </c>
      <c r="Q758" s="172">
        <f>IF(Q764=0,0,Q759/Q764)</f>
        <v>0</v>
      </c>
      <c r="T758" s="12" t="s">
        <v>82</v>
      </c>
      <c r="U758" s="13" t="s">
        <v>127</v>
      </c>
      <c r="V758" s="13" t="s">
        <v>83</v>
      </c>
      <c r="W758" s="13" t="s">
        <v>120</v>
      </c>
      <c r="X758" s="101"/>
      <c r="Y758" s="171">
        <f t="shared" ref="Y758:AB758" si="311">IF(Y764=0,0,Y759/Y764)</f>
        <v>0</v>
      </c>
      <c r="Z758" s="171">
        <f t="shared" si="311"/>
        <v>0</v>
      </c>
      <c r="AA758" s="171">
        <f t="shared" si="311"/>
        <v>0</v>
      </c>
      <c r="AB758" s="172">
        <f t="shared" si="311"/>
        <v>0</v>
      </c>
      <c r="AC758" s="183"/>
      <c r="AD758" s="183"/>
      <c r="AE758" s="183"/>
      <c r="AF758" s="183"/>
      <c r="AG758" s="183"/>
      <c r="AH758" s="183"/>
      <c r="AI758" s="183"/>
      <c r="AJ758" s="183"/>
      <c r="AK758" s="183"/>
      <c r="AL758" s="183"/>
      <c r="AM758" s="183"/>
      <c r="AN758" s="183"/>
    </row>
    <row r="759" spans="2:40" x14ac:dyDescent="0.25">
      <c r="B759" s="12" t="s">
        <v>84</v>
      </c>
      <c r="C759" s="13" t="s">
        <v>85</v>
      </c>
      <c r="D759" s="13" t="s">
        <v>10</v>
      </c>
      <c r="E759" s="732" t="s">
        <v>121</v>
      </c>
      <c r="F759" s="733"/>
      <c r="G759" s="448">
        <f>F741</f>
        <v>0</v>
      </c>
      <c r="H759" s="449">
        <f>H741</f>
        <v>0</v>
      </c>
      <c r="K759" s="12" t="s">
        <v>84</v>
      </c>
      <c r="L759" s="13" t="s">
        <v>85</v>
      </c>
      <c r="M759" s="13" t="s">
        <v>10</v>
      </c>
      <c r="N759" s="732" t="s">
        <v>121</v>
      </c>
      <c r="O759" s="733"/>
      <c r="P759" s="448">
        <f>O741</f>
        <v>0</v>
      </c>
      <c r="Q759" s="449">
        <f>Q741</f>
        <v>0</v>
      </c>
      <c r="T759" s="12" t="s">
        <v>84</v>
      </c>
      <c r="U759" s="13" t="s">
        <v>85</v>
      </c>
      <c r="V759" s="13" t="s">
        <v>10</v>
      </c>
      <c r="W759" s="13" t="s">
        <v>121</v>
      </c>
      <c r="X759" s="101"/>
      <c r="Y759" s="14">
        <f>W741</f>
        <v>0</v>
      </c>
      <c r="Z759" s="14">
        <f>X741</f>
        <v>0</v>
      </c>
      <c r="AA759" s="14">
        <f>Z741</f>
        <v>0</v>
      </c>
      <c r="AB759" s="15">
        <f>AA741</f>
        <v>0</v>
      </c>
      <c r="AC759" s="183"/>
      <c r="AD759" s="183"/>
      <c r="AE759" s="183"/>
      <c r="AF759" s="183"/>
      <c r="AG759" s="183"/>
      <c r="AH759" s="183"/>
      <c r="AI759" s="183"/>
      <c r="AJ759" s="183"/>
      <c r="AK759" s="183"/>
      <c r="AL759" s="183"/>
      <c r="AM759" s="183"/>
      <c r="AN759" s="183"/>
    </row>
    <row r="760" spans="2:40" x14ac:dyDescent="0.25">
      <c r="B760" s="12" t="s">
        <v>86</v>
      </c>
      <c r="C760" s="13" t="s">
        <v>87</v>
      </c>
      <c r="D760" s="13" t="s">
        <v>10</v>
      </c>
      <c r="E760" s="732"/>
      <c r="F760" s="733"/>
      <c r="G760" s="448">
        <f>IF(YEAR(Postup!$H$25)&gt;$D704,Provozování!BH$85,IF(AND(DAY(Postup!$H$25)=31,MONTH(Postup!$H$25)=12,YEAR(Postup!$H$25)=$D704),Provozování!BH$85,IF(YEAR(Postup!$H$25)=$D704,Provozování!$BL$85,0)))</f>
        <v>0</v>
      </c>
      <c r="H760" s="449">
        <f>IF(YEAR(Postup!$H$25)&gt;$D704,Provozování!BI$85,IF(AND(DAY(Postup!$H$25)=31,MONTH(Postup!$H$25)=12,YEAR(Postup!$H$25)=$D704),Provozování!BI$85,IF(YEAR(Postup!$H$25)=$D704,Provozování!$BM$85,0)))</f>
        <v>0</v>
      </c>
      <c r="K760" s="12" t="s">
        <v>86</v>
      </c>
      <c r="L760" s="13" t="s">
        <v>87</v>
      </c>
      <c r="M760" s="13" t="s">
        <v>10</v>
      </c>
      <c r="N760" s="732"/>
      <c r="O760" s="733"/>
      <c r="P760" s="448">
        <f>IF(Provozování!$BJ$16="Neaktivní",0,Provozování!BJ$85)</f>
        <v>0</v>
      </c>
      <c r="Q760" s="449">
        <f>IF(Provozování!BJ$16="Neaktivní",0,Provozování!BK$85)</f>
        <v>0</v>
      </c>
      <c r="T760" s="12" t="s">
        <v>86</v>
      </c>
      <c r="U760" s="13" t="s">
        <v>87</v>
      </c>
      <c r="V760" s="13" t="s">
        <v>10</v>
      </c>
      <c r="W760" s="13"/>
      <c r="X760" s="101"/>
      <c r="Y760" s="595">
        <v>0</v>
      </c>
      <c r="Z760" s="14">
        <f>IF(Provozování!$BJ$16="Neaktivní",G760,G760*Výpočty!$R$58+P760)</f>
        <v>0</v>
      </c>
      <c r="AA760" s="595">
        <v>0</v>
      </c>
      <c r="AB760" s="15">
        <f>IF(Provozování!$BJ$16="Neaktivní",H760,H760*Výpočty!$R$58+Q760)</f>
        <v>0</v>
      </c>
      <c r="AC760" s="183"/>
      <c r="AD760" s="183"/>
      <c r="AE760" s="183"/>
      <c r="AF760" s="183"/>
      <c r="AG760" s="183"/>
      <c r="AH760" s="183"/>
      <c r="AI760" s="183"/>
      <c r="AJ760" s="183"/>
      <c r="AK760" s="183"/>
      <c r="AL760" s="183"/>
      <c r="AM760" s="183"/>
      <c r="AN760" s="183"/>
    </row>
    <row r="761" spans="2:40" x14ac:dyDescent="0.25">
      <c r="B761" s="12" t="s">
        <v>88</v>
      </c>
      <c r="C761" s="21" t="s">
        <v>89</v>
      </c>
      <c r="D761" s="13" t="s">
        <v>90</v>
      </c>
      <c r="E761" s="732" t="s">
        <v>123</v>
      </c>
      <c r="F761" s="733"/>
      <c r="G761" s="171">
        <f>IF(G759=0,0,G760/G759*100)</f>
        <v>0</v>
      </c>
      <c r="H761" s="172">
        <f>IF(H759=0,0,H760/H759*100)</f>
        <v>0</v>
      </c>
      <c r="K761" s="12" t="s">
        <v>88</v>
      </c>
      <c r="L761" s="21" t="s">
        <v>89</v>
      </c>
      <c r="M761" s="13" t="s">
        <v>90</v>
      </c>
      <c r="N761" s="732" t="s">
        <v>123</v>
      </c>
      <c r="O761" s="733"/>
      <c r="P761" s="171">
        <f>IF(P759=0,0,P760/P759*100)</f>
        <v>0</v>
      </c>
      <c r="Q761" s="172">
        <f>IF(Q759=0,0,Q760/Q759*100)</f>
        <v>0</v>
      </c>
      <c r="T761" s="12" t="s">
        <v>88</v>
      </c>
      <c r="U761" s="21" t="s">
        <v>89</v>
      </c>
      <c r="V761" s="13" t="s">
        <v>90</v>
      </c>
      <c r="W761" s="13" t="s">
        <v>123</v>
      </c>
      <c r="X761" s="101"/>
      <c r="Y761" s="171">
        <f t="shared" ref="Y761:AB761" si="312">IF(Y759=0,0,Y760/Y759*100)</f>
        <v>0</v>
      </c>
      <c r="Z761" s="171">
        <f t="shared" si="312"/>
        <v>0</v>
      </c>
      <c r="AA761" s="171">
        <f t="shared" si="312"/>
        <v>0</v>
      </c>
      <c r="AB761" s="172">
        <f t="shared" si="312"/>
        <v>0</v>
      </c>
      <c r="AC761" s="183"/>
      <c r="AD761" s="183"/>
      <c r="AE761" s="183"/>
      <c r="AF761" s="183"/>
      <c r="AG761" s="183"/>
      <c r="AH761" s="183"/>
      <c r="AI761" s="183"/>
      <c r="AJ761" s="183"/>
      <c r="AK761" s="183"/>
      <c r="AL761" s="183"/>
      <c r="AM761" s="183"/>
      <c r="AN761" s="183"/>
    </row>
    <row r="762" spans="2:40" x14ac:dyDescent="0.25">
      <c r="B762" s="12" t="s">
        <v>91</v>
      </c>
      <c r="C762" s="21" t="s">
        <v>92</v>
      </c>
      <c r="D762" s="13" t="s">
        <v>10</v>
      </c>
      <c r="E762" s="732"/>
      <c r="F762" s="733"/>
      <c r="G762" s="411">
        <v>0</v>
      </c>
      <c r="H762" s="136">
        <v>0</v>
      </c>
      <c r="K762" s="12" t="s">
        <v>91</v>
      </c>
      <c r="L762" s="21" t="s">
        <v>92</v>
      </c>
      <c r="M762" s="13" t="s">
        <v>10</v>
      </c>
      <c r="N762" s="732"/>
      <c r="O762" s="733"/>
      <c r="P762" s="411">
        <v>0</v>
      </c>
      <c r="Q762" s="136">
        <v>0</v>
      </c>
      <c r="T762" s="12" t="s">
        <v>91</v>
      </c>
      <c r="U762" s="21" t="s">
        <v>92</v>
      </c>
      <c r="V762" s="13" t="s">
        <v>10</v>
      </c>
      <c r="W762" s="13"/>
      <c r="X762" s="101"/>
      <c r="Y762" s="445">
        <v>0</v>
      </c>
      <c r="Z762" s="445">
        <v>0</v>
      </c>
      <c r="AA762" s="445">
        <v>0</v>
      </c>
      <c r="AB762" s="442">
        <v>0</v>
      </c>
      <c r="AC762" s="183"/>
      <c r="AD762" s="183"/>
      <c r="AE762" s="183"/>
      <c r="AF762" s="183"/>
      <c r="AG762" s="183"/>
      <c r="AH762" s="183"/>
      <c r="AI762" s="183"/>
      <c r="AJ762" s="183"/>
      <c r="AK762" s="183"/>
      <c r="AL762" s="183"/>
      <c r="AM762" s="183"/>
      <c r="AN762" s="183"/>
    </row>
    <row r="763" spans="2:40" x14ac:dyDescent="0.25">
      <c r="B763" s="12" t="s">
        <v>93</v>
      </c>
      <c r="C763" s="13" t="s">
        <v>94</v>
      </c>
      <c r="D763" s="13" t="s">
        <v>10</v>
      </c>
      <c r="E763" s="732" t="s">
        <v>122</v>
      </c>
      <c r="F763" s="733"/>
      <c r="G763" s="448">
        <f>G759+G760</f>
        <v>0</v>
      </c>
      <c r="H763" s="449">
        <f>H759+H760</f>
        <v>0</v>
      </c>
      <c r="K763" s="12" t="s">
        <v>93</v>
      </c>
      <c r="L763" s="13" t="s">
        <v>94</v>
      </c>
      <c r="M763" s="13" t="s">
        <v>10</v>
      </c>
      <c r="N763" s="732" t="s">
        <v>122</v>
      </c>
      <c r="O763" s="733"/>
      <c r="P763" s="448">
        <f>P759+P760</f>
        <v>0</v>
      </c>
      <c r="Q763" s="449">
        <f>Q759+Q760</f>
        <v>0</v>
      </c>
      <c r="T763" s="12" t="s">
        <v>93</v>
      </c>
      <c r="U763" s="13" t="s">
        <v>94</v>
      </c>
      <c r="V763" s="13" t="s">
        <v>10</v>
      </c>
      <c r="W763" s="13" t="s">
        <v>122</v>
      </c>
      <c r="X763" s="101"/>
      <c r="Y763" s="448">
        <f t="shared" ref="Y763:AB763" si="313">Y759+Y760</f>
        <v>0</v>
      </c>
      <c r="Z763" s="448">
        <f t="shared" si="313"/>
        <v>0</v>
      </c>
      <c r="AA763" s="448">
        <f t="shared" si="313"/>
        <v>0</v>
      </c>
      <c r="AB763" s="449">
        <f t="shared" si="313"/>
        <v>0</v>
      </c>
      <c r="AC763" s="183"/>
      <c r="AD763" s="183"/>
      <c r="AE763" s="183"/>
      <c r="AF763" s="183"/>
      <c r="AG763" s="183"/>
      <c r="AH763" s="183"/>
      <c r="AI763" s="183"/>
      <c r="AJ763" s="183"/>
      <c r="AK763" s="183"/>
      <c r="AL763" s="183"/>
      <c r="AM763" s="183"/>
      <c r="AN763" s="183"/>
    </row>
    <row r="764" spans="2:40" x14ac:dyDescent="0.25">
      <c r="B764" s="12" t="s">
        <v>95</v>
      </c>
      <c r="C764" s="13" t="s">
        <v>96</v>
      </c>
      <c r="D764" s="13" t="s">
        <v>66</v>
      </c>
      <c r="E764" s="732" t="s">
        <v>124</v>
      </c>
      <c r="F764" s="733"/>
      <c r="G764" s="448">
        <f>F745</f>
        <v>0</v>
      </c>
      <c r="H764" s="449">
        <f>H747+H749</f>
        <v>0</v>
      </c>
      <c r="K764" s="12" t="s">
        <v>95</v>
      </c>
      <c r="L764" s="13" t="s">
        <v>96</v>
      </c>
      <c r="M764" s="13" t="s">
        <v>66</v>
      </c>
      <c r="N764" s="732" t="s">
        <v>124</v>
      </c>
      <c r="O764" s="733"/>
      <c r="P764" s="448">
        <f>O745</f>
        <v>0</v>
      </c>
      <c r="Q764" s="449">
        <f>Q747+Q749</f>
        <v>0</v>
      </c>
      <c r="T764" s="12" t="s">
        <v>95</v>
      </c>
      <c r="U764" s="13" t="s">
        <v>96</v>
      </c>
      <c r="V764" s="13" t="s">
        <v>66</v>
      </c>
      <c r="W764" s="13" t="s">
        <v>124</v>
      </c>
      <c r="X764" s="101"/>
      <c r="Y764" s="14">
        <f>W745</f>
        <v>0</v>
      </c>
      <c r="Z764" s="14">
        <f>X745</f>
        <v>0</v>
      </c>
      <c r="AA764" s="14">
        <f>Z747+Z749</f>
        <v>0</v>
      </c>
      <c r="AB764" s="15">
        <f>AA747+AA749</f>
        <v>0</v>
      </c>
      <c r="AC764" s="183"/>
      <c r="AD764" s="183"/>
      <c r="AE764" s="183"/>
      <c r="AF764" s="183"/>
      <c r="AG764" s="183"/>
      <c r="AH764" s="183"/>
      <c r="AI764" s="183"/>
      <c r="AJ764" s="183"/>
      <c r="AK764" s="183"/>
      <c r="AL764" s="183"/>
      <c r="AM764" s="183"/>
      <c r="AN764" s="183"/>
    </row>
    <row r="765" spans="2:40" x14ac:dyDescent="0.25">
      <c r="B765" s="12" t="s">
        <v>97</v>
      </c>
      <c r="C765" s="13" t="s">
        <v>98</v>
      </c>
      <c r="D765" s="13" t="s">
        <v>83</v>
      </c>
      <c r="E765" s="732" t="s">
        <v>125</v>
      </c>
      <c r="F765" s="733"/>
      <c r="G765" s="171">
        <f>IF(G764=0,0,G763/G764)</f>
        <v>0</v>
      </c>
      <c r="H765" s="172">
        <f>IF(H764=0,0,H763/H764)</f>
        <v>0</v>
      </c>
      <c r="K765" s="12" t="s">
        <v>97</v>
      </c>
      <c r="L765" s="13" t="s">
        <v>98</v>
      </c>
      <c r="M765" s="13" t="s">
        <v>83</v>
      </c>
      <c r="N765" s="732" t="s">
        <v>125</v>
      </c>
      <c r="O765" s="733"/>
      <c r="P765" s="171">
        <f>IF(P764=0,0,P763/P764)</f>
        <v>0</v>
      </c>
      <c r="Q765" s="172">
        <f>IF(Q764=0,0,Q763/Q764)</f>
        <v>0</v>
      </c>
      <c r="T765" s="12" t="s">
        <v>97</v>
      </c>
      <c r="U765" s="13" t="s">
        <v>98</v>
      </c>
      <c r="V765" s="13" t="s">
        <v>83</v>
      </c>
      <c r="W765" s="13" t="s">
        <v>125</v>
      </c>
      <c r="X765" s="101"/>
      <c r="Y765" s="171">
        <f t="shared" ref="Y765:AB765" si="314">IF(Y764=0,0,Y763/Y764)</f>
        <v>0</v>
      </c>
      <c r="Z765" s="171">
        <f t="shared" si="314"/>
        <v>0</v>
      </c>
      <c r="AA765" s="171">
        <f t="shared" si="314"/>
        <v>0</v>
      </c>
      <c r="AB765" s="172">
        <f t="shared" si="314"/>
        <v>0</v>
      </c>
      <c r="AC765" s="183"/>
      <c r="AD765" s="183"/>
      <c r="AE765" s="183"/>
      <c r="AF765" s="183"/>
      <c r="AG765" s="183"/>
      <c r="AH765" s="183"/>
      <c r="AI765" s="183"/>
      <c r="AJ765" s="183"/>
      <c r="AK765" s="183"/>
      <c r="AL765" s="183"/>
      <c r="AM765" s="183"/>
      <c r="AN765" s="183"/>
    </row>
    <row r="766" spans="2:40" x14ac:dyDescent="0.25">
      <c r="B766" s="12" t="s">
        <v>99</v>
      </c>
      <c r="C766" s="13" t="str">
        <f>CONCATENATE("CENA pro vodné, stočné + ",Provozování!BH$93*100,"% DPH")</f>
        <v>CENA pro vodné, stočné + 15% DPH</v>
      </c>
      <c r="D766" s="13" t="s">
        <v>83</v>
      </c>
      <c r="E766" s="732" t="s">
        <v>126</v>
      </c>
      <c r="F766" s="733"/>
      <c r="G766" s="171">
        <f>G765*(1+Provozování!BH$93)</f>
        <v>0</v>
      </c>
      <c r="H766" s="172">
        <f>H765*(1+Provozování!BI$93)</f>
        <v>0</v>
      </c>
      <c r="K766" s="12" t="s">
        <v>99</v>
      </c>
      <c r="L766" s="13" t="str">
        <f>C766</f>
        <v>CENA pro vodné, stočné + 15% DPH</v>
      </c>
      <c r="M766" s="13" t="s">
        <v>83</v>
      </c>
      <c r="N766" s="732" t="s">
        <v>126</v>
      </c>
      <c r="O766" s="733"/>
      <c r="P766" s="171">
        <f>P765*(1+Provozování!BH$93)</f>
        <v>0</v>
      </c>
      <c r="Q766" s="172">
        <f>Q765*(1+Provozování!BI$93)</f>
        <v>0</v>
      </c>
      <c r="T766" s="12" t="s">
        <v>99</v>
      </c>
      <c r="U766" s="13" t="str">
        <f>C766</f>
        <v>CENA pro vodné, stočné + 15% DPH</v>
      </c>
      <c r="V766" s="13" t="s">
        <v>83</v>
      </c>
      <c r="W766" s="13" t="s">
        <v>126</v>
      </c>
      <c r="X766" s="101"/>
      <c r="Y766" s="171">
        <f>Y765*(1+Provozování!BH$93)</f>
        <v>0</v>
      </c>
      <c r="Z766" s="171">
        <f>Z765*(1+Provozování!BH$93)</f>
        <v>0</v>
      </c>
      <c r="AA766" s="171">
        <f>AA765*(1+Provozování!BI$93)</f>
        <v>0</v>
      </c>
      <c r="AB766" s="172">
        <f>AB765*(1+Provozování!BI$93)</f>
        <v>0</v>
      </c>
      <c r="AC766" s="183"/>
      <c r="AD766" s="183"/>
      <c r="AE766" s="183"/>
      <c r="AF766" s="183"/>
      <c r="AG766" s="183"/>
      <c r="AH766" s="183"/>
      <c r="AI766" s="183"/>
      <c r="AJ766" s="183"/>
      <c r="AK766" s="183"/>
      <c r="AL766" s="183"/>
      <c r="AM766" s="183"/>
      <c r="AN766" s="183"/>
    </row>
    <row r="767" spans="2:40" x14ac:dyDescent="0.25">
      <c r="T767" s="916" t="s">
        <v>203</v>
      </c>
      <c r="U767" s="916" t="s">
        <v>202</v>
      </c>
      <c r="V767" s="744" t="s">
        <v>10</v>
      </c>
      <c r="W767" s="919" t="s">
        <v>204</v>
      </c>
      <c r="X767" s="732"/>
      <c r="Y767" s="102" t="s">
        <v>206</v>
      </c>
      <c r="Z767" s="105" t="s">
        <v>207</v>
      </c>
      <c r="AA767" s="102" t="s">
        <v>206</v>
      </c>
      <c r="AB767" s="105" t="s">
        <v>207</v>
      </c>
      <c r="AC767" s="183"/>
      <c r="AD767" s="183"/>
      <c r="AE767" s="183"/>
      <c r="AF767" s="183"/>
      <c r="AG767" s="183"/>
      <c r="AH767" s="183"/>
      <c r="AI767" s="183"/>
      <c r="AJ767" s="183"/>
      <c r="AK767" s="183"/>
      <c r="AL767" s="183"/>
      <c r="AM767" s="183"/>
      <c r="AN767" s="183"/>
    </row>
    <row r="768" spans="2:40" x14ac:dyDescent="0.25">
      <c r="B768" s="500" t="s">
        <v>354</v>
      </c>
      <c r="T768" s="917"/>
      <c r="U768" s="917"/>
      <c r="V768" s="745"/>
      <c r="W768" s="920">
        <v>0</v>
      </c>
      <c r="X768" s="921"/>
      <c r="Y768" s="103">
        <f>W704</f>
        <v>2030</v>
      </c>
      <c r="Z768" s="103">
        <f>W704</f>
        <v>2030</v>
      </c>
      <c r="AA768" s="103">
        <f>W704</f>
        <v>2030</v>
      </c>
      <c r="AB768" s="103">
        <f>W704</f>
        <v>2030</v>
      </c>
      <c r="AC768" s="183"/>
      <c r="AD768" s="183"/>
      <c r="AE768" s="183"/>
      <c r="AF768" s="183"/>
      <c r="AG768" s="183"/>
      <c r="AH768" s="183"/>
      <c r="AI768" s="183"/>
      <c r="AJ768" s="183"/>
      <c r="AK768" s="183"/>
      <c r="AL768" s="183"/>
      <c r="AM768" s="183"/>
      <c r="AN768" s="183"/>
    </row>
    <row r="769" spans="2:40" x14ac:dyDescent="0.25">
      <c r="B769" s="500" t="s">
        <v>355</v>
      </c>
      <c r="T769" s="917"/>
      <c r="U769" s="917"/>
      <c r="V769" s="745"/>
      <c r="W769" s="919" t="s">
        <v>205</v>
      </c>
      <c r="X769" s="732"/>
      <c r="Y769" s="104" t="s">
        <v>208</v>
      </c>
      <c r="Z769" s="104" t="s">
        <v>208</v>
      </c>
      <c r="AA769" s="104" t="s">
        <v>209</v>
      </c>
      <c r="AB769" s="104" t="s">
        <v>209</v>
      </c>
      <c r="AC769" s="183"/>
      <c r="AD769" s="183"/>
      <c r="AE769" s="183"/>
      <c r="AF769" s="183"/>
      <c r="AG769" s="183"/>
      <c r="AH769" s="183"/>
      <c r="AI769" s="183"/>
      <c r="AJ769" s="183"/>
      <c r="AK769" s="183"/>
      <c r="AL769" s="183"/>
      <c r="AM769" s="183"/>
      <c r="AN769" s="183"/>
    </row>
    <row r="770" spans="2:40" x14ac:dyDescent="0.25">
      <c r="T770" s="918"/>
      <c r="U770" s="918"/>
      <c r="V770" s="746"/>
      <c r="W770" s="922">
        <v>0</v>
      </c>
      <c r="X770" s="920"/>
      <c r="Y770" s="597">
        <v>0</v>
      </c>
      <c r="Z770" s="597">
        <v>0</v>
      </c>
      <c r="AA770" s="597">
        <v>0</v>
      </c>
      <c r="AB770" s="597">
        <v>0</v>
      </c>
      <c r="AC770" s="183"/>
      <c r="AD770" s="183"/>
      <c r="AE770" s="183"/>
      <c r="AF770" s="183"/>
      <c r="AG770" s="183"/>
      <c r="AH770" s="183"/>
      <c r="AI770" s="183"/>
      <c r="AJ770" s="183"/>
      <c r="AK770" s="183"/>
      <c r="AL770" s="183"/>
      <c r="AM770" s="183"/>
      <c r="AN770" s="183"/>
    </row>
    <row r="771" spans="2:40" x14ac:dyDescent="0.25">
      <c r="AD771" s="183"/>
      <c r="AE771" s="183"/>
      <c r="AF771" s="183"/>
      <c r="AG771" s="183"/>
      <c r="AH771" s="183"/>
      <c r="AI771" s="183"/>
      <c r="AJ771" s="183"/>
      <c r="AK771" s="183"/>
      <c r="AL771" s="183"/>
      <c r="AM771" s="183"/>
      <c r="AN771" s="183"/>
    </row>
    <row r="772" spans="2:40" x14ac:dyDescent="0.25">
      <c r="AD772" s="183"/>
      <c r="AE772" s="183"/>
      <c r="AF772" s="183"/>
      <c r="AG772" s="183"/>
      <c r="AH772" s="183"/>
      <c r="AI772" s="183"/>
      <c r="AJ772" s="183"/>
      <c r="AK772" s="183"/>
      <c r="AL772" s="183"/>
      <c r="AM772" s="183"/>
      <c r="AN772" s="183"/>
    </row>
    <row r="773" spans="2:40" x14ac:dyDescent="0.25">
      <c r="AD773" s="183"/>
      <c r="AE773" s="183"/>
      <c r="AF773" s="183"/>
      <c r="AG773" s="183"/>
      <c r="AH773" s="183"/>
      <c r="AI773" s="183"/>
      <c r="AJ773" s="183"/>
      <c r="AK773" s="183"/>
      <c r="AL773" s="183"/>
      <c r="AM773" s="183"/>
      <c r="AN773" s="183"/>
    </row>
    <row r="774" spans="2:40" x14ac:dyDescent="0.25">
      <c r="B774" s="331" t="s">
        <v>310</v>
      </c>
      <c r="C774" s="69"/>
      <c r="D774" s="69"/>
      <c r="E774" s="69"/>
      <c r="F774" s="69"/>
      <c r="G774" s="69"/>
      <c r="H774" s="69"/>
      <c r="I774" s="69"/>
      <c r="AD774" s="183"/>
      <c r="AE774" s="183"/>
      <c r="AF774" s="183"/>
      <c r="AG774" s="183"/>
      <c r="AH774" s="183"/>
      <c r="AI774" s="183"/>
      <c r="AJ774" s="183"/>
      <c r="AK774" s="183"/>
      <c r="AL774" s="183"/>
      <c r="AM774" s="183"/>
      <c r="AN774" s="183"/>
    </row>
    <row r="775" spans="2:40" x14ac:dyDescent="0.25">
      <c r="B775" s="515" t="s">
        <v>157</v>
      </c>
      <c r="C775" s="516"/>
      <c r="D775" s="516"/>
      <c r="E775" s="516"/>
      <c r="F775" s="516"/>
      <c r="G775" s="516"/>
      <c r="H775" s="516"/>
      <c r="I775" s="517"/>
      <c r="AD775" s="183"/>
      <c r="AE775" s="183"/>
      <c r="AF775" s="183"/>
      <c r="AG775" s="183"/>
      <c r="AH775" s="183"/>
      <c r="AI775" s="183"/>
      <c r="AJ775" s="183"/>
      <c r="AK775" s="183"/>
      <c r="AL775" s="183"/>
      <c r="AM775" s="183"/>
      <c r="AN775" s="183"/>
    </row>
    <row r="776" spans="2:40" x14ac:dyDescent="0.25">
      <c r="B776" s="518" t="s">
        <v>265</v>
      </c>
      <c r="C776" s="519"/>
      <c r="D776" s="519"/>
      <c r="E776" s="519"/>
      <c r="F776" s="519"/>
      <c r="G776" s="519"/>
      <c r="H776" s="519"/>
      <c r="I776" s="520"/>
      <c r="AD776" s="183"/>
      <c r="AE776" s="183"/>
      <c r="AF776" s="183"/>
      <c r="AG776" s="183"/>
      <c r="AH776" s="183"/>
      <c r="AI776" s="183"/>
      <c r="AJ776" s="183"/>
      <c r="AK776" s="183"/>
      <c r="AL776" s="183"/>
      <c r="AM776" s="183"/>
      <c r="AN776" s="183"/>
    </row>
    <row r="777" spans="2:40" x14ac:dyDescent="0.25">
      <c r="B777" s="303" t="s">
        <v>226</v>
      </c>
      <c r="C777" s="304"/>
      <c r="D777" s="304"/>
      <c r="E777" s="304"/>
      <c r="F777" s="304"/>
      <c r="G777" s="304"/>
      <c r="H777" s="304"/>
      <c r="I777" s="305"/>
      <c r="AD777" s="183"/>
      <c r="AE777" s="183"/>
      <c r="AF777" s="183"/>
      <c r="AG777" s="183"/>
      <c r="AH777" s="183"/>
      <c r="AI777" s="183"/>
      <c r="AJ777" s="183"/>
      <c r="AK777" s="183"/>
      <c r="AL777" s="183"/>
      <c r="AM777" s="183"/>
      <c r="AN777" s="183"/>
    </row>
    <row r="778" spans="2:40" x14ac:dyDescent="0.25">
      <c r="B778" s="521" t="s">
        <v>180</v>
      </c>
      <c r="C778" s="522"/>
      <c r="D778" s="522"/>
      <c r="E778" s="522"/>
      <c r="F778" s="522"/>
      <c r="G778" s="522"/>
      <c r="H778" s="522"/>
      <c r="I778" s="523"/>
      <c r="AD778" s="183"/>
      <c r="AE778" s="183"/>
      <c r="AF778" s="183"/>
      <c r="AG778" s="183"/>
      <c r="AH778" s="183"/>
      <c r="AI778" s="183"/>
      <c r="AJ778" s="183"/>
      <c r="AK778" s="183"/>
      <c r="AL778" s="183"/>
      <c r="AM778" s="183"/>
      <c r="AN778" s="183"/>
    </row>
    <row r="779" spans="2:40" x14ac:dyDescent="0.25">
      <c r="B779" s="306" t="s">
        <v>175</v>
      </c>
      <c r="C779" s="307"/>
      <c r="D779" s="307"/>
      <c r="E779" s="307"/>
      <c r="F779" s="307"/>
      <c r="G779" s="307"/>
      <c r="H779" s="307"/>
      <c r="I779" s="308"/>
      <c r="AD779" s="183"/>
      <c r="AE779" s="183"/>
      <c r="AF779" s="183"/>
      <c r="AG779" s="183"/>
      <c r="AH779" s="183"/>
      <c r="AI779" s="183"/>
      <c r="AJ779" s="183"/>
      <c r="AK779" s="183"/>
      <c r="AL779" s="183"/>
      <c r="AM779" s="183"/>
      <c r="AN779" s="183"/>
    </row>
    <row r="780" spans="2:40" x14ac:dyDescent="0.25">
      <c r="B780" s="309" t="s">
        <v>211</v>
      </c>
      <c r="C780" s="310"/>
      <c r="D780" s="310"/>
      <c r="E780" s="310"/>
      <c r="F780" s="310"/>
      <c r="G780" s="310"/>
      <c r="H780" s="310"/>
      <c r="I780" s="311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</row>
    <row r="781" spans="2:40" x14ac:dyDescent="0.25"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</row>
    <row r="782" spans="2:40" x14ac:dyDescent="0.25"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</row>
    <row r="783" spans="2:40" x14ac:dyDescent="0.25">
      <c r="AD783" s="183"/>
      <c r="AE783" s="183"/>
      <c r="AF783" s="183"/>
      <c r="AG783" s="183"/>
      <c r="AH783" s="183"/>
      <c r="AI783" s="183"/>
      <c r="AJ783" s="183"/>
      <c r="AK783" s="183"/>
      <c r="AL783" s="183"/>
      <c r="AM783" s="183"/>
      <c r="AN783" s="183"/>
    </row>
    <row r="784" spans="2:40" x14ac:dyDescent="0.25">
      <c r="AD784" s="183"/>
      <c r="AE784" s="183"/>
      <c r="AF784" s="183"/>
      <c r="AG784" s="183"/>
      <c r="AH784" s="183"/>
      <c r="AI784" s="183"/>
      <c r="AJ784" s="183"/>
      <c r="AK784" s="183"/>
      <c r="AL784" s="183"/>
      <c r="AM784" s="183"/>
      <c r="AN784" s="183"/>
    </row>
    <row r="785" spans="30:40" x14ac:dyDescent="0.25">
      <c r="AD785" s="183"/>
      <c r="AE785" s="183"/>
      <c r="AF785" s="183"/>
      <c r="AG785" s="183"/>
      <c r="AH785" s="183"/>
      <c r="AI785" s="183"/>
      <c r="AJ785" s="183"/>
      <c r="AK785" s="183"/>
      <c r="AL785" s="183"/>
      <c r="AM785" s="183"/>
      <c r="AN785" s="183"/>
    </row>
    <row r="786" spans="30:40" x14ac:dyDescent="0.25">
      <c r="AD786" s="183"/>
      <c r="AE786" s="183"/>
      <c r="AF786" s="183"/>
      <c r="AG786" s="183"/>
      <c r="AH786" s="183"/>
      <c r="AI786" s="183"/>
      <c r="AJ786" s="183"/>
      <c r="AK786" s="183"/>
      <c r="AL786" s="183"/>
      <c r="AM786" s="183"/>
      <c r="AN786" s="183"/>
    </row>
    <row r="787" spans="30:40" x14ac:dyDescent="0.25">
      <c r="AD787" s="183"/>
      <c r="AE787" s="183"/>
      <c r="AF787" s="183"/>
      <c r="AG787" s="183"/>
      <c r="AH787" s="183"/>
      <c r="AI787" s="183"/>
      <c r="AJ787" s="183"/>
      <c r="AK787" s="183"/>
      <c r="AL787" s="183"/>
      <c r="AM787" s="183"/>
      <c r="AN787" s="183"/>
    </row>
    <row r="788" spans="30:40" x14ac:dyDescent="0.25"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</row>
    <row r="789" spans="30:40" x14ac:dyDescent="0.25">
      <c r="AD789" s="183"/>
      <c r="AE789" s="183"/>
      <c r="AF789" s="183"/>
      <c r="AG789" s="183"/>
      <c r="AH789" s="183"/>
      <c r="AI789" s="183"/>
      <c r="AJ789" s="183"/>
      <c r="AK789" s="183"/>
      <c r="AL789" s="183"/>
      <c r="AM789" s="183"/>
      <c r="AN789" s="183"/>
    </row>
    <row r="790" spans="30:40" x14ac:dyDescent="0.25">
      <c r="AD790" s="183"/>
      <c r="AE790" s="183"/>
      <c r="AF790" s="183"/>
      <c r="AG790" s="183"/>
      <c r="AH790" s="183"/>
      <c r="AI790" s="183"/>
      <c r="AJ790" s="183"/>
      <c r="AK790" s="183"/>
      <c r="AL790" s="183"/>
      <c r="AM790" s="183"/>
      <c r="AN790" s="183"/>
    </row>
    <row r="791" spans="30:40" x14ac:dyDescent="0.25">
      <c r="AD791" s="183"/>
      <c r="AE791" s="183"/>
      <c r="AF791" s="183"/>
      <c r="AG791" s="183"/>
      <c r="AH791" s="183"/>
      <c r="AI791" s="183"/>
      <c r="AJ791" s="183"/>
      <c r="AK791" s="183"/>
      <c r="AL791" s="183"/>
      <c r="AM791" s="183"/>
      <c r="AN791" s="183"/>
    </row>
    <row r="792" spans="30:40" x14ac:dyDescent="0.25">
      <c r="AD792" s="183"/>
      <c r="AE792" s="183"/>
      <c r="AF792" s="183"/>
      <c r="AG792" s="183"/>
      <c r="AH792" s="183"/>
      <c r="AI792" s="183"/>
      <c r="AJ792" s="183"/>
      <c r="AK792" s="183"/>
      <c r="AL792" s="183"/>
      <c r="AM792" s="183"/>
      <c r="AN792" s="183"/>
    </row>
    <row r="793" spans="30:40" x14ac:dyDescent="0.25">
      <c r="AD793" s="183"/>
      <c r="AE793" s="183"/>
      <c r="AF793" s="183"/>
      <c r="AG793" s="183"/>
      <c r="AH793" s="183"/>
      <c r="AI793" s="183"/>
      <c r="AJ793" s="183"/>
      <c r="AK793" s="183"/>
      <c r="AL793" s="183"/>
      <c r="AM793" s="183"/>
      <c r="AN793" s="183"/>
    </row>
    <row r="794" spans="30:40" x14ac:dyDescent="0.25">
      <c r="AD794" s="183"/>
      <c r="AE794" s="183"/>
      <c r="AF794" s="183"/>
      <c r="AG794" s="183"/>
      <c r="AH794" s="183"/>
      <c r="AI794" s="183"/>
      <c r="AJ794" s="183"/>
      <c r="AK794" s="183"/>
      <c r="AL794" s="183"/>
      <c r="AM794" s="183"/>
      <c r="AN794" s="183"/>
    </row>
    <row r="795" spans="30:40" x14ac:dyDescent="0.25">
      <c r="AD795" s="183"/>
      <c r="AE795" s="183"/>
      <c r="AF795" s="183"/>
      <c r="AG795" s="183"/>
      <c r="AH795" s="183"/>
      <c r="AI795" s="183"/>
      <c r="AJ795" s="183"/>
      <c r="AK795" s="183"/>
      <c r="AL795" s="183"/>
      <c r="AM795" s="183"/>
      <c r="AN795" s="183"/>
    </row>
    <row r="796" spans="30:40" x14ac:dyDescent="0.25">
      <c r="AD796" s="183"/>
      <c r="AE796" s="183"/>
      <c r="AF796" s="183"/>
      <c r="AG796" s="183"/>
      <c r="AH796" s="183"/>
      <c r="AI796" s="183"/>
      <c r="AJ796" s="183"/>
      <c r="AK796" s="183"/>
      <c r="AL796" s="183"/>
      <c r="AM796" s="183"/>
      <c r="AN796" s="183"/>
    </row>
    <row r="797" spans="30:40" x14ac:dyDescent="0.25">
      <c r="AD797" s="183"/>
      <c r="AE797" s="183"/>
      <c r="AF797" s="183"/>
      <c r="AG797" s="183"/>
      <c r="AH797" s="183"/>
      <c r="AI797" s="183"/>
      <c r="AJ797" s="183"/>
      <c r="AK797" s="183"/>
      <c r="AL797" s="183"/>
      <c r="AM797" s="183"/>
      <c r="AN797" s="183"/>
    </row>
    <row r="798" spans="30:40" x14ac:dyDescent="0.25">
      <c r="AD798" s="183"/>
      <c r="AE798" s="183"/>
      <c r="AF798" s="183"/>
      <c r="AG798" s="183"/>
      <c r="AH798" s="183"/>
      <c r="AI798" s="183"/>
      <c r="AJ798" s="183"/>
      <c r="AK798" s="183"/>
      <c r="AL798" s="183"/>
      <c r="AM798" s="183"/>
      <c r="AN798" s="183"/>
    </row>
    <row r="799" spans="30:40" x14ac:dyDescent="0.25">
      <c r="AD799" s="183"/>
      <c r="AE799" s="183"/>
      <c r="AF799" s="183"/>
      <c r="AG799" s="183"/>
      <c r="AH799" s="183"/>
      <c r="AI799" s="183"/>
      <c r="AJ799" s="183"/>
      <c r="AK799" s="183"/>
      <c r="AL799" s="183"/>
      <c r="AM799" s="183"/>
      <c r="AN799" s="183"/>
    </row>
    <row r="800" spans="30:40" x14ac:dyDescent="0.25">
      <c r="AD800" s="183"/>
      <c r="AE800" s="183"/>
      <c r="AF800" s="183"/>
      <c r="AG800" s="183"/>
      <c r="AH800" s="183"/>
      <c r="AI800" s="183"/>
      <c r="AJ800" s="183"/>
      <c r="AK800" s="183"/>
      <c r="AL800" s="183"/>
      <c r="AM800" s="183"/>
      <c r="AN800" s="183"/>
    </row>
    <row r="801" spans="30:40" x14ac:dyDescent="0.25">
      <c r="AD801" s="183"/>
      <c r="AE801" s="183"/>
      <c r="AF801" s="183"/>
      <c r="AG801" s="183"/>
      <c r="AH801" s="183"/>
      <c r="AI801" s="183"/>
      <c r="AJ801" s="183"/>
      <c r="AK801" s="183"/>
      <c r="AL801" s="183"/>
      <c r="AM801" s="183"/>
      <c r="AN801" s="183"/>
    </row>
    <row r="802" spans="30:40" x14ac:dyDescent="0.25">
      <c r="AD802" s="183"/>
      <c r="AE802" s="183"/>
      <c r="AF802" s="183"/>
      <c r="AG802" s="183"/>
      <c r="AH802" s="183"/>
      <c r="AI802" s="183"/>
      <c r="AJ802" s="183"/>
      <c r="AK802" s="183"/>
      <c r="AL802" s="183"/>
      <c r="AM802" s="183"/>
      <c r="AN802" s="183"/>
    </row>
    <row r="803" spans="30:40" x14ac:dyDescent="0.25">
      <c r="AD803" s="183"/>
      <c r="AE803" s="183"/>
      <c r="AF803" s="183"/>
      <c r="AG803" s="183"/>
      <c r="AH803" s="183"/>
      <c r="AI803" s="183"/>
      <c r="AJ803" s="183"/>
      <c r="AK803" s="183"/>
      <c r="AL803" s="183"/>
      <c r="AM803" s="183"/>
      <c r="AN803" s="183"/>
    </row>
    <row r="804" spans="30:40" x14ac:dyDescent="0.25">
      <c r="AD804" s="183"/>
      <c r="AE804" s="183"/>
      <c r="AF804" s="183"/>
      <c r="AG804" s="183"/>
      <c r="AH804" s="183"/>
      <c r="AI804" s="183"/>
      <c r="AJ804" s="183"/>
      <c r="AK804" s="183"/>
      <c r="AL804" s="183"/>
      <c r="AM804" s="183"/>
      <c r="AN804" s="183"/>
    </row>
    <row r="805" spans="30:40" x14ac:dyDescent="0.25">
      <c r="AD805" s="183"/>
      <c r="AE805" s="183"/>
      <c r="AF805" s="183"/>
      <c r="AG805" s="183"/>
      <c r="AH805" s="183"/>
      <c r="AI805" s="183"/>
      <c r="AJ805" s="183"/>
      <c r="AK805" s="183"/>
      <c r="AL805" s="183"/>
      <c r="AM805" s="183"/>
      <c r="AN805" s="183"/>
    </row>
    <row r="806" spans="30:40" x14ac:dyDescent="0.25">
      <c r="AD806" s="183"/>
      <c r="AE806" s="183"/>
      <c r="AF806" s="183"/>
      <c r="AG806" s="183"/>
      <c r="AH806" s="183"/>
      <c r="AI806" s="183"/>
      <c r="AJ806" s="183"/>
      <c r="AK806" s="183"/>
      <c r="AL806" s="183"/>
      <c r="AM806" s="183"/>
      <c r="AN806" s="183"/>
    </row>
    <row r="807" spans="30:40" x14ac:dyDescent="0.25">
      <c r="AD807" s="183"/>
      <c r="AE807" s="183"/>
      <c r="AF807" s="183"/>
      <c r="AG807" s="183"/>
      <c r="AH807" s="183"/>
      <c r="AI807" s="183"/>
      <c r="AJ807" s="183"/>
      <c r="AK807" s="183"/>
      <c r="AL807" s="183"/>
      <c r="AM807" s="183"/>
      <c r="AN807" s="183"/>
    </row>
    <row r="808" spans="30:40" x14ac:dyDescent="0.25">
      <c r="AD808" s="183"/>
      <c r="AE808" s="183"/>
      <c r="AF808" s="183"/>
      <c r="AG808" s="183"/>
      <c r="AH808" s="183"/>
      <c r="AI808" s="183"/>
      <c r="AJ808" s="183"/>
      <c r="AK808" s="183"/>
      <c r="AL808" s="183"/>
      <c r="AM808" s="183"/>
      <c r="AN808" s="183"/>
    </row>
    <row r="809" spans="30:40" x14ac:dyDescent="0.25">
      <c r="AD809" s="183"/>
      <c r="AE809" s="183"/>
      <c r="AF809" s="183"/>
      <c r="AG809" s="183"/>
      <c r="AH809" s="183"/>
      <c r="AI809" s="183"/>
      <c r="AJ809" s="183"/>
      <c r="AK809" s="183"/>
      <c r="AL809" s="183"/>
      <c r="AM809" s="183"/>
      <c r="AN809" s="183"/>
    </row>
    <row r="810" spans="30:40" x14ac:dyDescent="0.25">
      <c r="AD810" s="183"/>
      <c r="AE810" s="183"/>
      <c r="AF810" s="183"/>
      <c r="AG810" s="183"/>
      <c r="AH810" s="183"/>
      <c r="AI810" s="183"/>
      <c r="AJ810" s="183"/>
      <c r="AK810" s="183"/>
      <c r="AL810" s="183"/>
      <c r="AM810" s="183"/>
      <c r="AN810" s="183"/>
    </row>
    <row r="811" spans="30:40" x14ac:dyDescent="0.25">
      <c r="AD811" s="183"/>
      <c r="AE811" s="183"/>
      <c r="AF811" s="183"/>
      <c r="AG811" s="183"/>
      <c r="AH811" s="183"/>
      <c r="AI811" s="183"/>
      <c r="AJ811" s="183"/>
      <c r="AK811" s="183"/>
      <c r="AL811" s="183"/>
      <c r="AM811" s="183"/>
      <c r="AN811" s="183"/>
    </row>
    <row r="812" spans="30:40" x14ac:dyDescent="0.25">
      <c r="AD812" s="183"/>
      <c r="AE812" s="183"/>
      <c r="AF812" s="183"/>
      <c r="AG812" s="183"/>
      <c r="AH812" s="183"/>
      <c r="AI812" s="183"/>
      <c r="AJ812" s="183"/>
      <c r="AK812" s="183"/>
      <c r="AL812" s="183"/>
      <c r="AM812" s="183"/>
      <c r="AN812" s="183"/>
    </row>
    <row r="813" spans="30:40" x14ac:dyDescent="0.25">
      <c r="AD813" s="183"/>
      <c r="AE813" s="183"/>
      <c r="AF813" s="183"/>
      <c r="AG813" s="183"/>
      <c r="AH813" s="183"/>
      <c r="AI813" s="183"/>
      <c r="AJ813" s="183"/>
      <c r="AK813" s="183"/>
      <c r="AL813" s="183"/>
      <c r="AM813" s="183"/>
      <c r="AN813" s="183"/>
    </row>
    <row r="814" spans="30:40" x14ac:dyDescent="0.25">
      <c r="AD814" s="183"/>
      <c r="AE814" s="183"/>
      <c r="AF814" s="183"/>
      <c r="AG814" s="183"/>
      <c r="AH814" s="183"/>
      <c r="AI814" s="183"/>
      <c r="AJ814" s="183"/>
      <c r="AK814" s="183"/>
      <c r="AL814" s="183"/>
      <c r="AM814" s="183"/>
      <c r="AN814" s="183"/>
    </row>
    <row r="815" spans="30:40" x14ac:dyDescent="0.25">
      <c r="AD815" s="183"/>
      <c r="AE815" s="183"/>
      <c r="AF815" s="183"/>
      <c r="AG815" s="183"/>
      <c r="AH815" s="183"/>
      <c r="AI815" s="183"/>
      <c r="AJ815" s="183"/>
      <c r="AK815" s="183"/>
      <c r="AL815" s="183"/>
      <c r="AM815" s="183"/>
      <c r="AN815" s="183"/>
    </row>
    <row r="816" spans="30:40" x14ac:dyDescent="0.25">
      <c r="AD816" s="183"/>
      <c r="AE816" s="183"/>
      <c r="AF816" s="183"/>
      <c r="AG816" s="183"/>
      <c r="AH816" s="183"/>
      <c r="AI816" s="183"/>
      <c r="AJ816" s="183"/>
      <c r="AK816" s="183"/>
      <c r="AL816" s="183"/>
      <c r="AM816" s="183"/>
      <c r="AN816" s="183"/>
    </row>
    <row r="817" spans="30:40" x14ac:dyDescent="0.25">
      <c r="AD817" s="183"/>
      <c r="AE817" s="183"/>
      <c r="AF817" s="183"/>
      <c r="AG817" s="183"/>
      <c r="AH817" s="183"/>
      <c r="AI817" s="183"/>
      <c r="AJ817" s="183"/>
      <c r="AK817" s="183"/>
      <c r="AL817" s="183"/>
      <c r="AM817" s="183"/>
      <c r="AN817" s="183"/>
    </row>
    <row r="818" spans="30:40" x14ac:dyDescent="0.25">
      <c r="AD818" s="183"/>
      <c r="AE818" s="183"/>
      <c r="AF818" s="183"/>
      <c r="AG818" s="183"/>
      <c r="AH818" s="183"/>
      <c r="AI818" s="183"/>
      <c r="AJ818" s="183"/>
      <c r="AK818" s="183"/>
      <c r="AL818" s="183"/>
      <c r="AM818" s="183"/>
      <c r="AN818" s="183"/>
    </row>
    <row r="819" spans="30:40" x14ac:dyDescent="0.25">
      <c r="AD819" s="183"/>
      <c r="AE819" s="183"/>
      <c r="AF819" s="183"/>
      <c r="AG819" s="183"/>
      <c r="AH819" s="183"/>
      <c r="AI819" s="183"/>
      <c r="AJ819" s="183"/>
      <c r="AK819" s="183"/>
      <c r="AL819" s="183"/>
      <c r="AM819" s="183"/>
      <c r="AN819" s="183"/>
    </row>
    <row r="820" spans="30:40" x14ac:dyDescent="0.25">
      <c r="AD820" s="183"/>
      <c r="AE820" s="183"/>
      <c r="AF820" s="183"/>
      <c r="AG820" s="183"/>
      <c r="AH820" s="183"/>
      <c r="AI820" s="183"/>
      <c r="AJ820" s="183"/>
      <c r="AK820" s="183"/>
      <c r="AL820" s="183"/>
      <c r="AM820" s="183"/>
      <c r="AN820" s="183"/>
    </row>
    <row r="821" spans="30:40" x14ac:dyDescent="0.25">
      <c r="AD821" s="183"/>
      <c r="AE821" s="183"/>
      <c r="AF821" s="183"/>
      <c r="AG821" s="183"/>
      <c r="AH821" s="183"/>
      <c r="AI821" s="183"/>
      <c r="AJ821" s="183"/>
      <c r="AK821" s="183"/>
      <c r="AL821" s="183"/>
      <c r="AM821" s="183"/>
      <c r="AN821" s="183"/>
    </row>
    <row r="822" spans="30:40" x14ac:dyDescent="0.25">
      <c r="AD822" s="183"/>
      <c r="AE822" s="183"/>
      <c r="AF822" s="183"/>
      <c r="AG822" s="183"/>
      <c r="AH822" s="183"/>
      <c r="AI822" s="183"/>
      <c r="AJ822" s="183"/>
      <c r="AK822" s="183"/>
      <c r="AL822" s="183"/>
      <c r="AM822" s="183"/>
      <c r="AN822" s="183"/>
    </row>
    <row r="823" spans="30:40" x14ac:dyDescent="0.25">
      <c r="AD823" s="183"/>
      <c r="AE823" s="183"/>
      <c r="AF823" s="183"/>
      <c r="AG823" s="183"/>
      <c r="AH823" s="183"/>
      <c r="AI823" s="183"/>
      <c r="AJ823" s="183"/>
      <c r="AK823" s="183"/>
      <c r="AL823" s="183"/>
      <c r="AM823" s="183"/>
      <c r="AN823" s="183"/>
    </row>
    <row r="824" spans="30:40" x14ac:dyDescent="0.25">
      <c r="AD824" s="183"/>
      <c r="AE824" s="183"/>
      <c r="AF824" s="183"/>
      <c r="AG824" s="183"/>
      <c r="AH824" s="183"/>
      <c r="AI824" s="183"/>
      <c r="AJ824" s="183"/>
      <c r="AK824" s="183"/>
      <c r="AL824" s="183"/>
      <c r="AM824" s="183"/>
      <c r="AN824" s="183"/>
    </row>
    <row r="825" spans="30:40" x14ac:dyDescent="0.25">
      <c r="AD825" s="183"/>
      <c r="AE825" s="183"/>
      <c r="AF825" s="183"/>
      <c r="AG825" s="183"/>
      <c r="AH825" s="183"/>
      <c r="AI825" s="183"/>
      <c r="AJ825" s="183"/>
      <c r="AK825" s="183"/>
      <c r="AL825" s="183"/>
      <c r="AM825" s="183"/>
      <c r="AN825" s="183"/>
    </row>
    <row r="826" spans="30:40" x14ac:dyDescent="0.25">
      <c r="AD826" s="183"/>
      <c r="AE826" s="183"/>
      <c r="AF826" s="183"/>
      <c r="AG826" s="183"/>
      <c r="AH826" s="183"/>
      <c r="AI826" s="183"/>
      <c r="AJ826" s="183"/>
      <c r="AK826" s="183"/>
      <c r="AL826" s="183"/>
      <c r="AM826" s="183"/>
      <c r="AN826" s="183"/>
    </row>
    <row r="827" spans="30:40" x14ac:dyDescent="0.25">
      <c r="AD827" s="183"/>
      <c r="AE827" s="183"/>
      <c r="AF827" s="183"/>
      <c r="AG827" s="183"/>
      <c r="AH827" s="183"/>
      <c r="AI827" s="183"/>
      <c r="AJ827" s="183"/>
      <c r="AK827" s="183"/>
      <c r="AL827" s="183"/>
      <c r="AM827" s="183"/>
      <c r="AN827" s="183"/>
    </row>
    <row r="828" spans="30:40" x14ac:dyDescent="0.25">
      <c r="AD828" s="183"/>
      <c r="AE828" s="183"/>
      <c r="AF828" s="183"/>
      <c r="AG828" s="183"/>
      <c r="AH828" s="183"/>
      <c r="AI828" s="183"/>
      <c r="AJ828" s="183"/>
      <c r="AK828" s="183"/>
      <c r="AL828" s="183"/>
      <c r="AM828" s="183"/>
      <c r="AN828" s="183"/>
    </row>
    <row r="829" spans="30:40" x14ac:dyDescent="0.25">
      <c r="AD829" s="183"/>
      <c r="AE829" s="183"/>
      <c r="AF829" s="183"/>
      <c r="AG829" s="183"/>
      <c r="AH829" s="183"/>
      <c r="AI829" s="183"/>
      <c r="AJ829" s="183"/>
      <c r="AK829" s="183"/>
      <c r="AL829" s="183"/>
      <c r="AM829" s="183"/>
      <c r="AN829" s="183"/>
    </row>
    <row r="830" spans="30:40" x14ac:dyDescent="0.25">
      <c r="AD830" s="183"/>
      <c r="AE830" s="183"/>
      <c r="AF830" s="183"/>
      <c r="AG830" s="183"/>
      <c r="AH830" s="183"/>
      <c r="AI830" s="183"/>
      <c r="AJ830" s="183"/>
      <c r="AK830" s="183"/>
      <c r="AL830" s="183"/>
      <c r="AM830" s="183"/>
      <c r="AN830" s="183"/>
    </row>
    <row r="831" spans="30:40" x14ac:dyDescent="0.25">
      <c r="AD831" s="183"/>
      <c r="AE831" s="183"/>
      <c r="AF831" s="183"/>
      <c r="AG831" s="183"/>
      <c r="AH831" s="183"/>
      <c r="AI831" s="183"/>
      <c r="AJ831" s="183"/>
      <c r="AK831" s="183"/>
      <c r="AL831" s="183"/>
      <c r="AM831" s="183"/>
      <c r="AN831" s="183"/>
    </row>
    <row r="832" spans="30:40" x14ac:dyDescent="0.25">
      <c r="AD832" s="183"/>
      <c r="AE832" s="183"/>
      <c r="AF832" s="183"/>
      <c r="AG832" s="183"/>
      <c r="AH832" s="183"/>
      <c r="AI832" s="183"/>
      <c r="AJ832" s="183"/>
      <c r="AK832" s="183"/>
      <c r="AL832" s="183"/>
      <c r="AM832" s="183"/>
      <c r="AN832" s="183"/>
    </row>
    <row r="833" spans="30:40" x14ac:dyDescent="0.25">
      <c r="AD833" s="183"/>
      <c r="AE833" s="183"/>
      <c r="AF833" s="183"/>
      <c r="AG833" s="183"/>
      <c r="AH833" s="183"/>
      <c r="AI833" s="183"/>
      <c r="AJ833" s="183"/>
      <c r="AK833" s="183"/>
      <c r="AL833" s="183"/>
      <c r="AM833" s="183"/>
      <c r="AN833" s="183"/>
    </row>
  </sheetData>
  <sheetProtection password="B65E" sheet="1" objects="1" scenarios="1"/>
  <mergeCells count="1034">
    <mergeCell ref="AH315:AH316"/>
    <mergeCell ref="AE384:AF386"/>
    <mergeCell ref="AG385:AG386"/>
    <mergeCell ref="AH385:AH386"/>
    <mergeCell ref="AE454:AF456"/>
    <mergeCell ref="AG455:AG456"/>
    <mergeCell ref="AH455:AH456"/>
    <mergeCell ref="AE524:AF526"/>
    <mergeCell ref="AG525:AG526"/>
    <mergeCell ref="AH525:AH526"/>
    <mergeCell ref="AE465:AF466"/>
    <mergeCell ref="AG465:AG466"/>
    <mergeCell ref="AH465:AH466"/>
    <mergeCell ref="AG468:AG469"/>
    <mergeCell ref="AH468:AH469"/>
    <mergeCell ref="AG393:AG394"/>
    <mergeCell ref="AH393:AH394"/>
    <mergeCell ref="AE395:AF396"/>
    <mergeCell ref="AG395:AG396"/>
    <mergeCell ref="AH395:AH396"/>
    <mergeCell ref="AG398:AG399"/>
    <mergeCell ref="AH398:AH399"/>
    <mergeCell ref="AG328:AG329"/>
    <mergeCell ref="AH328:AH329"/>
    <mergeCell ref="AG743:AG744"/>
    <mergeCell ref="AH743:AH744"/>
    <mergeCell ref="AE745:AF746"/>
    <mergeCell ref="AG745:AG746"/>
    <mergeCell ref="AH745:AH746"/>
    <mergeCell ref="AG748:AG749"/>
    <mergeCell ref="AH748:AH749"/>
    <mergeCell ref="AG673:AG674"/>
    <mergeCell ref="AH673:AH674"/>
    <mergeCell ref="AE675:AF676"/>
    <mergeCell ref="AG675:AG676"/>
    <mergeCell ref="AH675:AH676"/>
    <mergeCell ref="AG678:AG679"/>
    <mergeCell ref="AH678:AH679"/>
    <mergeCell ref="AE664:AF666"/>
    <mergeCell ref="AG665:AG666"/>
    <mergeCell ref="AH665:AH666"/>
    <mergeCell ref="AE734:AF736"/>
    <mergeCell ref="AG735:AG736"/>
    <mergeCell ref="AH735:AH736"/>
    <mergeCell ref="AG603:AG604"/>
    <mergeCell ref="AH603:AH604"/>
    <mergeCell ref="AE605:AF606"/>
    <mergeCell ref="AG605:AG606"/>
    <mergeCell ref="AH605:AH606"/>
    <mergeCell ref="AG608:AG609"/>
    <mergeCell ref="AH608:AH609"/>
    <mergeCell ref="AG533:AG534"/>
    <mergeCell ref="AH533:AH534"/>
    <mergeCell ref="AE535:AF536"/>
    <mergeCell ref="AG535:AG536"/>
    <mergeCell ref="AH535:AH536"/>
    <mergeCell ref="AG538:AG539"/>
    <mergeCell ref="AH538:AH539"/>
    <mergeCell ref="AE594:AF596"/>
    <mergeCell ref="AG595:AG596"/>
    <mergeCell ref="AH595:AH596"/>
    <mergeCell ref="V149:AB149"/>
    <mergeCell ref="V67:V70"/>
    <mergeCell ref="W127:X127"/>
    <mergeCell ref="AG323:AG324"/>
    <mergeCell ref="AH323:AH324"/>
    <mergeCell ref="AE325:AF326"/>
    <mergeCell ref="AG325:AG326"/>
    <mergeCell ref="AH325:AH326"/>
    <mergeCell ref="AG253:AG254"/>
    <mergeCell ref="AH253:AH254"/>
    <mergeCell ref="AE255:AF256"/>
    <mergeCell ref="AG255:AG256"/>
    <mergeCell ref="AH255:AH256"/>
    <mergeCell ref="AG258:AG259"/>
    <mergeCell ref="AH258:AH259"/>
    <mergeCell ref="AG463:AG464"/>
    <mergeCell ref="AH463:AH464"/>
    <mergeCell ref="AG183:AG184"/>
    <mergeCell ref="AH183:AH184"/>
    <mergeCell ref="AE185:AF186"/>
    <mergeCell ref="AG185:AG186"/>
    <mergeCell ref="AH185:AH186"/>
    <mergeCell ref="AG188:AG189"/>
    <mergeCell ref="AH188:AH189"/>
    <mergeCell ref="AE174:AF176"/>
    <mergeCell ref="AG175:AG176"/>
    <mergeCell ref="AH175:AH176"/>
    <mergeCell ref="AE244:AF246"/>
    <mergeCell ref="AG245:AG246"/>
    <mergeCell ref="AH245:AH246"/>
    <mergeCell ref="AE314:AF316"/>
    <mergeCell ref="AG315:AG316"/>
    <mergeCell ref="AE34:AF36"/>
    <mergeCell ref="AG35:AG36"/>
    <mergeCell ref="AH35:AH36"/>
    <mergeCell ref="AG43:AG44"/>
    <mergeCell ref="AH43:AH44"/>
    <mergeCell ref="AG48:AG49"/>
    <mergeCell ref="AH48:AH49"/>
    <mergeCell ref="AG113:AG114"/>
    <mergeCell ref="AH113:AH114"/>
    <mergeCell ref="AE115:AF116"/>
    <mergeCell ref="AG115:AG116"/>
    <mergeCell ref="AH115:AH116"/>
    <mergeCell ref="AG118:AG119"/>
    <mergeCell ref="AH118:AH119"/>
    <mergeCell ref="AE104:AF106"/>
    <mergeCell ref="AG105:AG106"/>
    <mergeCell ref="AH105:AH106"/>
    <mergeCell ref="AG45:AG46"/>
    <mergeCell ref="AH45:AH46"/>
    <mergeCell ref="AE45:AF46"/>
    <mergeCell ref="B754:B756"/>
    <mergeCell ref="C754:H754"/>
    <mergeCell ref="K754:K756"/>
    <mergeCell ref="L754:Q754"/>
    <mergeCell ref="E761:F761"/>
    <mergeCell ref="N761:O761"/>
    <mergeCell ref="E762:F762"/>
    <mergeCell ref="N762:O762"/>
    <mergeCell ref="E763:F763"/>
    <mergeCell ref="N763:O763"/>
    <mergeCell ref="E758:F758"/>
    <mergeCell ref="N758:O758"/>
    <mergeCell ref="E759:F759"/>
    <mergeCell ref="N759:O759"/>
    <mergeCell ref="E760:F760"/>
    <mergeCell ref="N760:O760"/>
    <mergeCell ref="E757:F757"/>
    <mergeCell ref="N757:O757"/>
    <mergeCell ref="T754:T756"/>
    <mergeCell ref="U754:AB754"/>
    <mergeCell ref="C755:C756"/>
    <mergeCell ref="D755:D756"/>
    <mergeCell ref="E755:F756"/>
    <mergeCell ref="M755:M756"/>
    <mergeCell ref="N755:O756"/>
    <mergeCell ref="U755:U756"/>
    <mergeCell ref="V755:V756"/>
    <mergeCell ref="E764:F764"/>
    <mergeCell ref="N764:O764"/>
    <mergeCell ref="E765:F765"/>
    <mergeCell ref="N765:O765"/>
    <mergeCell ref="E766:F766"/>
    <mergeCell ref="N766:O766"/>
    <mergeCell ref="T767:T770"/>
    <mergeCell ref="U767:U770"/>
    <mergeCell ref="V767:V770"/>
    <mergeCell ref="W768:X768"/>
    <mergeCell ref="W769:X769"/>
    <mergeCell ref="W770:X770"/>
    <mergeCell ref="W755:X756"/>
    <mergeCell ref="Y755:Z755"/>
    <mergeCell ref="AA755:AB755"/>
    <mergeCell ref="W757:X757"/>
    <mergeCell ref="W767:X767"/>
    <mergeCell ref="B712:B715"/>
    <mergeCell ref="C712:H712"/>
    <mergeCell ref="K712:K715"/>
    <mergeCell ref="L712:Q712"/>
    <mergeCell ref="T712:T715"/>
    <mergeCell ref="U712:AB712"/>
    <mergeCell ref="D707:H707"/>
    <mergeCell ref="M707:Q707"/>
    <mergeCell ref="V707:AB707"/>
    <mergeCell ref="D708:H708"/>
    <mergeCell ref="M708:Q708"/>
    <mergeCell ref="V708:AB708"/>
    <mergeCell ref="D709:H709"/>
    <mergeCell ref="M709:Q709"/>
    <mergeCell ref="V709:AB709"/>
    <mergeCell ref="V713:V715"/>
    <mergeCell ref="W713:Y713"/>
    <mergeCell ref="Z713:AB713"/>
    <mergeCell ref="D710:H710"/>
    <mergeCell ref="M710:Q710"/>
    <mergeCell ref="V710:AB710"/>
    <mergeCell ref="C713:C715"/>
    <mergeCell ref="D713:D715"/>
    <mergeCell ref="E713:F713"/>
    <mergeCell ref="G713:H713"/>
    <mergeCell ref="L713:L715"/>
    <mergeCell ref="M713:M715"/>
    <mergeCell ref="N713:O713"/>
    <mergeCell ref="P713:Q713"/>
    <mergeCell ref="U713:U715"/>
    <mergeCell ref="B702:H702"/>
    <mergeCell ref="K702:Q702"/>
    <mergeCell ref="T702:AB702"/>
    <mergeCell ref="T703:AB703"/>
    <mergeCell ref="D705:H705"/>
    <mergeCell ref="M705:Q705"/>
    <mergeCell ref="V705:AB705"/>
    <mergeCell ref="D706:H706"/>
    <mergeCell ref="M706:Q706"/>
    <mergeCell ref="V706:AB706"/>
    <mergeCell ref="E696:F696"/>
    <mergeCell ref="N696:O696"/>
    <mergeCell ref="T697:T700"/>
    <mergeCell ref="U697:U700"/>
    <mergeCell ref="V697:V700"/>
    <mergeCell ref="W697:X697"/>
    <mergeCell ref="W698:X698"/>
    <mergeCell ref="W699:X699"/>
    <mergeCell ref="W700:X700"/>
    <mergeCell ref="E691:F691"/>
    <mergeCell ref="N691:O691"/>
    <mergeCell ref="E692:F692"/>
    <mergeCell ref="N692:O692"/>
    <mergeCell ref="E693:F693"/>
    <mergeCell ref="N693:O693"/>
    <mergeCell ref="E694:F694"/>
    <mergeCell ref="N694:O694"/>
    <mergeCell ref="E695:F695"/>
    <mergeCell ref="N695:O695"/>
    <mergeCell ref="E687:F687"/>
    <mergeCell ref="N687:O687"/>
    <mergeCell ref="W687:X687"/>
    <mergeCell ref="E688:F688"/>
    <mergeCell ref="N688:O688"/>
    <mergeCell ref="E689:F689"/>
    <mergeCell ref="N689:O689"/>
    <mergeCell ref="E690:F690"/>
    <mergeCell ref="N690:O690"/>
    <mergeCell ref="B684:B686"/>
    <mergeCell ref="C684:H684"/>
    <mergeCell ref="K684:K686"/>
    <mergeCell ref="L684:Q684"/>
    <mergeCell ref="T684:T686"/>
    <mergeCell ref="U684:AB684"/>
    <mergeCell ref="C685:C686"/>
    <mergeCell ref="D685:D686"/>
    <mergeCell ref="E685:F686"/>
    <mergeCell ref="M685:M686"/>
    <mergeCell ref="N685:O686"/>
    <mergeCell ref="U685:U686"/>
    <mergeCell ref="V685:V686"/>
    <mergeCell ref="W685:X686"/>
    <mergeCell ref="Y685:Z685"/>
    <mergeCell ref="AA685:AB685"/>
    <mergeCell ref="D640:H640"/>
    <mergeCell ref="M640:Q640"/>
    <mergeCell ref="V640:AB640"/>
    <mergeCell ref="B642:B645"/>
    <mergeCell ref="C642:H642"/>
    <mergeCell ref="K642:K645"/>
    <mergeCell ref="L642:Q642"/>
    <mergeCell ref="T642:T645"/>
    <mergeCell ref="U642:AB642"/>
    <mergeCell ref="V643:V645"/>
    <mergeCell ref="W643:Y643"/>
    <mergeCell ref="Z643:AB643"/>
    <mergeCell ref="C643:C645"/>
    <mergeCell ref="D643:D645"/>
    <mergeCell ref="E643:F643"/>
    <mergeCell ref="G643:H643"/>
    <mergeCell ref="L643:L645"/>
    <mergeCell ref="M643:M645"/>
    <mergeCell ref="N643:O643"/>
    <mergeCell ref="P643:Q643"/>
    <mergeCell ref="U643:U645"/>
    <mergeCell ref="D637:H637"/>
    <mergeCell ref="M637:Q637"/>
    <mergeCell ref="V637:AB637"/>
    <mergeCell ref="D638:H638"/>
    <mergeCell ref="M638:Q638"/>
    <mergeCell ref="V638:AB638"/>
    <mergeCell ref="D639:H639"/>
    <mergeCell ref="M639:Q639"/>
    <mergeCell ref="V639:AB639"/>
    <mergeCell ref="B632:H632"/>
    <mergeCell ref="K632:Q632"/>
    <mergeCell ref="T632:AB632"/>
    <mergeCell ref="T633:AB633"/>
    <mergeCell ref="D635:H635"/>
    <mergeCell ref="M635:Q635"/>
    <mergeCell ref="V635:AB635"/>
    <mergeCell ref="D636:H636"/>
    <mergeCell ref="M636:Q636"/>
    <mergeCell ref="V636:AB636"/>
    <mergeCell ref="E626:F626"/>
    <mergeCell ref="N626:O626"/>
    <mergeCell ref="T627:T630"/>
    <mergeCell ref="U627:U630"/>
    <mergeCell ref="V627:V630"/>
    <mergeCell ref="W627:X627"/>
    <mergeCell ref="W628:X628"/>
    <mergeCell ref="W629:X629"/>
    <mergeCell ref="W630:X630"/>
    <mergeCell ref="E621:F621"/>
    <mergeCell ref="N621:O621"/>
    <mergeCell ref="E622:F622"/>
    <mergeCell ref="N622:O622"/>
    <mergeCell ref="E623:F623"/>
    <mergeCell ref="N623:O623"/>
    <mergeCell ref="E624:F624"/>
    <mergeCell ref="N624:O624"/>
    <mergeCell ref="E625:F625"/>
    <mergeCell ref="N625:O625"/>
    <mergeCell ref="E617:F617"/>
    <mergeCell ref="N617:O617"/>
    <mergeCell ref="W617:X617"/>
    <mergeCell ref="E618:F618"/>
    <mergeCell ref="N618:O618"/>
    <mergeCell ref="E619:F619"/>
    <mergeCell ref="N619:O619"/>
    <mergeCell ref="E620:F620"/>
    <mergeCell ref="N620:O620"/>
    <mergeCell ref="B614:B616"/>
    <mergeCell ref="C614:H614"/>
    <mergeCell ref="K614:K616"/>
    <mergeCell ref="L614:Q614"/>
    <mergeCell ref="T614:T616"/>
    <mergeCell ref="U614:AB614"/>
    <mergeCell ref="C615:C616"/>
    <mergeCell ref="D615:D616"/>
    <mergeCell ref="E615:F616"/>
    <mergeCell ref="M615:M616"/>
    <mergeCell ref="N615:O616"/>
    <mergeCell ref="U615:U616"/>
    <mergeCell ref="V615:V616"/>
    <mergeCell ref="W615:X616"/>
    <mergeCell ref="Y615:Z615"/>
    <mergeCell ref="AA615:AB615"/>
    <mergeCell ref="D570:H570"/>
    <mergeCell ref="M570:Q570"/>
    <mergeCell ref="V570:AB570"/>
    <mergeCell ref="B572:B575"/>
    <mergeCell ref="C572:H572"/>
    <mergeCell ref="K572:K575"/>
    <mergeCell ref="L572:Q572"/>
    <mergeCell ref="T572:T575"/>
    <mergeCell ref="U572:AB572"/>
    <mergeCell ref="V573:V575"/>
    <mergeCell ref="W573:Y573"/>
    <mergeCell ref="Z573:AB573"/>
    <mergeCell ref="C573:C575"/>
    <mergeCell ref="D573:D575"/>
    <mergeCell ref="E573:F573"/>
    <mergeCell ref="G573:H573"/>
    <mergeCell ref="L573:L575"/>
    <mergeCell ref="M573:M575"/>
    <mergeCell ref="N573:O573"/>
    <mergeCell ref="P573:Q573"/>
    <mergeCell ref="U573:U575"/>
    <mergeCell ref="D567:H567"/>
    <mergeCell ref="M567:Q567"/>
    <mergeCell ref="V567:AB567"/>
    <mergeCell ref="D568:H568"/>
    <mergeCell ref="M568:Q568"/>
    <mergeCell ref="V568:AB568"/>
    <mergeCell ref="D569:H569"/>
    <mergeCell ref="M569:Q569"/>
    <mergeCell ref="V569:AB569"/>
    <mergeCell ref="B562:H562"/>
    <mergeCell ref="K562:Q562"/>
    <mergeCell ref="T562:AB562"/>
    <mergeCell ref="T563:AB563"/>
    <mergeCell ref="D565:H565"/>
    <mergeCell ref="M565:Q565"/>
    <mergeCell ref="V565:AB565"/>
    <mergeCell ref="D566:H566"/>
    <mergeCell ref="M566:Q566"/>
    <mergeCell ref="V566:AB566"/>
    <mergeCell ref="E556:F556"/>
    <mergeCell ref="N556:O556"/>
    <mergeCell ref="T557:T560"/>
    <mergeCell ref="U557:U560"/>
    <mergeCell ref="V557:V560"/>
    <mergeCell ref="W557:X557"/>
    <mergeCell ref="W558:X558"/>
    <mergeCell ref="W559:X559"/>
    <mergeCell ref="W560:X560"/>
    <mergeCell ref="E551:F551"/>
    <mergeCell ref="N551:O551"/>
    <mergeCell ref="E552:F552"/>
    <mergeCell ref="N552:O552"/>
    <mergeCell ref="E553:F553"/>
    <mergeCell ref="N553:O553"/>
    <mergeCell ref="E554:F554"/>
    <mergeCell ref="N554:O554"/>
    <mergeCell ref="E555:F555"/>
    <mergeCell ref="N555:O555"/>
    <mergeCell ref="E547:F547"/>
    <mergeCell ref="N547:O547"/>
    <mergeCell ref="W547:X547"/>
    <mergeCell ref="E548:F548"/>
    <mergeCell ref="N548:O548"/>
    <mergeCell ref="E549:F549"/>
    <mergeCell ref="N549:O549"/>
    <mergeCell ref="E550:F550"/>
    <mergeCell ref="N550:O550"/>
    <mergeCell ref="B544:B546"/>
    <mergeCell ref="C544:H544"/>
    <mergeCell ref="K544:K546"/>
    <mergeCell ref="L544:Q544"/>
    <mergeCell ref="T544:T546"/>
    <mergeCell ref="U544:AB544"/>
    <mergeCell ref="C545:C546"/>
    <mergeCell ref="D545:D546"/>
    <mergeCell ref="E545:F546"/>
    <mergeCell ref="M545:M546"/>
    <mergeCell ref="N545:O546"/>
    <mergeCell ref="U545:U546"/>
    <mergeCell ref="V545:V546"/>
    <mergeCell ref="W545:X546"/>
    <mergeCell ref="Y545:Z545"/>
    <mergeCell ref="AA545:AB545"/>
    <mergeCell ref="D500:H500"/>
    <mergeCell ref="M500:Q500"/>
    <mergeCell ref="V500:AB500"/>
    <mergeCell ref="B502:B505"/>
    <mergeCell ref="C502:H502"/>
    <mergeCell ref="K502:K505"/>
    <mergeCell ref="L502:Q502"/>
    <mergeCell ref="T502:T505"/>
    <mergeCell ref="U502:AB502"/>
    <mergeCell ref="V503:V505"/>
    <mergeCell ref="W503:Y503"/>
    <mergeCell ref="Z503:AB503"/>
    <mergeCell ref="C503:C505"/>
    <mergeCell ref="D503:D505"/>
    <mergeCell ref="E503:F503"/>
    <mergeCell ref="G503:H503"/>
    <mergeCell ref="L503:L505"/>
    <mergeCell ref="M503:M505"/>
    <mergeCell ref="N503:O503"/>
    <mergeCell ref="P503:Q503"/>
    <mergeCell ref="U503:U505"/>
    <mergeCell ref="D497:H497"/>
    <mergeCell ref="M497:Q497"/>
    <mergeCell ref="V497:AB497"/>
    <mergeCell ref="D498:H498"/>
    <mergeCell ref="M498:Q498"/>
    <mergeCell ref="V498:AB498"/>
    <mergeCell ref="D499:H499"/>
    <mergeCell ref="M499:Q499"/>
    <mergeCell ref="V499:AB499"/>
    <mergeCell ref="B492:H492"/>
    <mergeCell ref="K492:Q492"/>
    <mergeCell ref="T492:AB492"/>
    <mergeCell ref="T493:AB493"/>
    <mergeCell ref="D495:H495"/>
    <mergeCell ref="M495:Q495"/>
    <mergeCell ref="V495:AB495"/>
    <mergeCell ref="D496:H496"/>
    <mergeCell ref="M496:Q496"/>
    <mergeCell ref="V496:AB496"/>
    <mergeCell ref="E486:F486"/>
    <mergeCell ref="N486:O486"/>
    <mergeCell ref="T487:T490"/>
    <mergeCell ref="U487:U490"/>
    <mergeCell ref="V487:V490"/>
    <mergeCell ref="W487:X487"/>
    <mergeCell ref="W488:X488"/>
    <mergeCell ref="W489:X489"/>
    <mergeCell ref="W490:X490"/>
    <mergeCell ref="E482:F482"/>
    <mergeCell ref="N482:O482"/>
    <mergeCell ref="E483:F483"/>
    <mergeCell ref="N483:O483"/>
    <mergeCell ref="E484:F484"/>
    <mergeCell ref="N484:O484"/>
    <mergeCell ref="E485:F485"/>
    <mergeCell ref="N485:O485"/>
    <mergeCell ref="E477:F477"/>
    <mergeCell ref="N477:O477"/>
    <mergeCell ref="E481:F481"/>
    <mergeCell ref="N481:O481"/>
    <mergeCell ref="W477:X477"/>
    <mergeCell ref="E478:F478"/>
    <mergeCell ref="N478:O478"/>
    <mergeCell ref="E479:F479"/>
    <mergeCell ref="N479:O479"/>
    <mergeCell ref="E480:F480"/>
    <mergeCell ref="N480:O480"/>
    <mergeCell ref="B474:B476"/>
    <mergeCell ref="C474:H474"/>
    <mergeCell ref="K474:K476"/>
    <mergeCell ref="L474:Q474"/>
    <mergeCell ref="T474:T476"/>
    <mergeCell ref="U474:AB474"/>
    <mergeCell ref="C475:C476"/>
    <mergeCell ref="D475:D476"/>
    <mergeCell ref="E475:F476"/>
    <mergeCell ref="M475:M476"/>
    <mergeCell ref="N475:O476"/>
    <mergeCell ref="U475:U476"/>
    <mergeCell ref="V475:V476"/>
    <mergeCell ref="W475:X476"/>
    <mergeCell ref="Y475:Z475"/>
    <mergeCell ref="AA475:AB475"/>
    <mergeCell ref="D430:H430"/>
    <mergeCell ref="M430:Q430"/>
    <mergeCell ref="V430:AB430"/>
    <mergeCell ref="B432:B435"/>
    <mergeCell ref="C432:H432"/>
    <mergeCell ref="K432:K435"/>
    <mergeCell ref="L432:Q432"/>
    <mergeCell ref="T432:T435"/>
    <mergeCell ref="U432:AB432"/>
    <mergeCell ref="C433:C435"/>
    <mergeCell ref="D433:D435"/>
    <mergeCell ref="E433:F433"/>
    <mergeCell ref="G433:H433"/>
    <mergeCell ref="L433:L435"/>
    <mergeCell ref="M433:M435"/>
    <mergeCell ref="N433:O433"/>
    <mergeCell ref="P433:Q433"/>
    <mergeCell ref="U433:U435"/>
    <mergeCell ref="V433:V435"/>
    <mergeCell ref="W433:Y433"/>
    <mergeCell ref="Z433:AB433"/>
    <mergeCell ref="D427:H427"/>
    <mergeCell ref="M427:Q427"/>
    <mergeCell ref="V427:AB427"/>
    <mergeCell ref="D428:H428"/>
    <mergeCell ref="M428:Q428"/>
    <mergeCell ref="V428:AB428"/>
    <mergeCell ref="D429:H429"/>
    <mergeCell ref="M429:Q429"/>
    <mergeCell ref="V429:AB429"/>
    <mergeCell ref="B422:H422"/>
    <mergeCell ref="K422:Q422"/>
    <mergeCell ref="T422:AB422"/>
    <mergeCell ref="T423:AB423"/>
    <mergeCell ref="D425:H425"/>
    <mergeCell ref="M425:Q425"/>
    <mergeCell ref="V425:AB425"/>
    <mergeCell ref="D426:H426"/>
    <mergeCell ref="M426:Q426"/>
    <mergeCell ref="V426:AB426"/>
    <mergeCell ref="E416:F416"/>
    <mergeCell ref="N416:O416"/>
    <mergeCell ref="T417:T420"/>
    <mergeCell ref="U417:U420"/>
    <mergeCell ref="V417:V420"/>
    <mergeCell ref="W417:X417"/>
    <mergeCell ref="W418:X418"/>
    <mergeCell ref="W419:X419"/>
    <mergeCell ref="W420:X420"/>
    <mergeCell ref="E411:F411"/>
    <mergeCell ref="N411:O411"/>
    <mergeCell ref="E412:F412"/>
    <mergeCell ref="N412:O412"/>
    <mergeCell ref="E413:F413"/>
    <mergeCell ref="N413:O413"/>
    <mergeCell ref="E414:F414"/>
    <mergeCell ref="N414:O414"/>
    <mergeCell ref="E415:F415"/>
    <mergeCell ref="N415:O415"/>
    <mergeCell ref="E407:F407"/>
    <mergeCell ref="N407:O407"/>
    <mergeCell ref="W407:X407"/>
    <mergeCell ref="E408:F408"/>
    <mergeCell ref="N408:O408"/>
    <mergeCell ref="E409:F409"/>
    <mergeCell ref="N409:O409"/>
    <mergeCell ref="E410:F410"/>
    <mergeCell ref="N410:O410"/>
    <mergeCell ref="B404:B406"/>
    <mergeCell ref="C404:H404"/>
    <mergeCell ref="K404:K406"/>
    <mergeCell ref="L404:Q404"/>
    <mergeCell ref="T404:T406"/>
    <mergeCell ref="U404:AB404"/>
    <mergeCell ref="C405:C406"/>
    <mergeCell ref="D405:D406"/>
    <mergeCell ref="E405:F406"/>
    <mergeCell ref="M405:M406"/>
    <mergeCell ref="N405:O406"/>
    <mergeCell ref="U405:U406"/>
    <mergeCell ref="V405:V406"/>
    <mergeCell ref="W405:X406"/>
    <mergeCell ref="Y405:Z405"/>
    <mergeCell ref="AA405:AB405"/>
    <mergeCell ref="D360:H360"/>
    <mergeCell ref="M360:Q360"/>
    <mergeCell ref="V360:AB360"/>
    <mergeCell ref="B362:B365"/>
    <mergeCell ref="C362:H362"/>
    <mergeCell ref="K362:K365"/>
    <mergeCell ref="L362:Q362"/>
    <mergeCell ref="T362:T365"/>
    <mergeCell ref="U362:AB362"/>
    <mergeCell ref="C363:C365"/>
    <mergeCell ref="D363:D365"/>
    <mergeCell ref="E363:F363"/>
    <mergeCell ref="G363:H363"/>
    <mergeCell ref="L363:L365"/>
    <mergeCell ref="M363:M365"/>
    <mergeCell ref="N363:O363"/>
    <mergeCell ref="P363:Q363"/>
    <mergeCell ref="U363:U365"/>
    <mergeCell ref="V363:V365"/>
    <mergeCell ref="W363:Y363"/>
    <mergeCell ref="Z363:AB363"/>
    <mergeCell ref="D357:H357"/>
    <mergeCell ref="M357:Q357"/>
    <mergeCell ref="V357:AB357"/>
    <mergeCell ref="D358:H358"/>
    <mergeCell ref="M358:Q358"/>
    <mergeCell ref="V358:AB358"/>
    <mergeCell ref="D359:H359"/>
    <mergeCell ref="M359:Q359"/>
    <mergeCell ref="V359:AB359"/>
    <mergeCell ref="B352:H352"/>
    <mergeCell ref="K352:Q352"/>
    <mergeCell ref="T352:AB352"/>
    <mergeCell ref="T353:AB353"/>
    <mergeCell ref="D355:H355"/>
    <mergeCell ref="M355:Q355"/>
    <mergeCell ref="V355:AB355"/>
    <mergeCell ref="D356:H356"/>
    <mergeCell ref="M356:Q356"/>
    <mergeCell ref="V356:AB356"/>
    <mergeCell ref="E346:F346"/>
    <mergeCell ref="N346:O346"/>
    <mergeCell ref="T347:T350"/>
    <mergeCell ref="U347:U350"/>
    <mergeCell ref="V347:V350"/>
    <mergeCell ref="W347:X347"/>
    <mergeCell ref="W348:X348"/>
    <mergeCell ref="W349:X349"/>
    <mergeCell ref="W350:X350"/>
    <mergeCell ref="E342:F342"/>
    <mergeCell ref="N342:O342"/>
    <mergeCell ref="E343:F343"/>
    <mergeCell ref="N343:O343"/>
    <mergeCell ref="E344:F344"/>
    <mergeCell ref="N344:O344"/>
    <mergeCell ref="E345:F345"/>
    <mergeCell ref="N345:O345"/>
    <mergeCell ref="E337:F337"/>
    <mergeCell ref="N337:O337"/>
    <mergeCell ref="E341:F341"/>
    <mergeCell ref="N341:O341"/>
    <mergeCell ref="W337:X337"/>
    <mergeCell ref="E338:F338"/>
    <mergeCell ref="N338:O338"/>
    <mergeCell ref="E339:F339"/>
    <mergeCell ref="N339:O339"/>
    <mergeCell ref="E340:F340"/>
    <mergeCell ref="N340:O340"/>
    <mergeCell ref="B334:B336"/>
    <mergeCell ref="C334:H334"/>
    <mergeCell ref="K334:K336"/>
    <mergeCell ref="L334:Q334"/>
    <mergeCell ref="T334:T336"/>
    <mergeCell ref="U334:AB334"/>
    <mergeCell ref="C335:C336"/>
    <mergeCell ref="D335:D336"/>
    <mergeCell ref="E335:F336"/>
    <mergeCell ref="M335:M336"/>
    <mergeCell ref="N335:O336"/>
    <mergeCell ref="U335:U336"/>
    <mergeCell ref="V335:V336"/>
    <mergeCell ref="W335:X336"/>
    <mergeCell ref="Y335:Z335"/>
    <mergeCell ref="AA335:AB335"/>
    <mergeCell ref="D290:H290"/>
    <mergeCell ref="M290:Q290"/>
    <mergeCell ref="V290:AB290"/>
    <mergeCell ref="B292:B295"/>
    <mergeCell ref="C292:H292"/>
    <mergeCell ref="K292:K295"/>
    <mergeCell ref="L292:Q292"/>
    <mergeCell ref="T292:T295"/>
    <mergeCell ref="U292:AB292"/>
    <mergeCell ref="C293:C295"/>
    <mergeCell ref="D293:D295"/>
    <mergeCell ref="E293:F293"/>
    <mergeCell ref="G293:H293"/>
    <mergeCell ref="L293:L295"/>
    <mergeCell ref="M293:M295"/>
    <mergeCell ref="N293:O293"/>
    <mergeCell ref="P293:Q293"/>
    <mergeCell ref="U293:U295"/>
    <mergeCell ref="V293:V295"/>
    <mergeCell ref="W293:Y293"/>
    <mergeCell ref="Z293:AB293"/>
    <mergeCell ref="D287:H287"/>
    <mergeCell ref="M287:Q287"/>
    <mergeCell ref="V287:AB287"/>
    <mergeCell ref="D288:H288"/>
    <mergeCell ref="M288:Q288"/>
    <mergeCell ref="V288:AB288"/>
    <mergeCell ref="D289:H289"/>
    <mergeCell ref="M289:Q289"/>
    <mergeCell ref="V289:AB289"/>
    <mergeCell ref="B282:H282"/>
    <mergeCell ref="K282:Q282"/>
    <mergeCell ref="T282:AB282"/>
    <mergeCell ref="T283:AB283"/>
    <mergeCell ref="D285:H285"/>
    <mergeCell ref="M285:Q285"/>
    <mergeCell ref="V285:AB285"/>
    <mergeCell ref="D286:H286"/>
    <mergeCell ref="M286:Q286"/>
    <mergeCell ref="V286:AB286"/>
    <mergeCell ref="E276:F276"/>
    <mergeCell ref="N276:O276"/>
    <mergeCell ref="T277:T280"/>
    <mergeCell ref="U277:U280"/>
    <mergeCell ref="V277:V280"/>
    <mergeCell ref="W277:X277"/>
    <mergeCell ref="W278:X278"/>
    <mergeCell ref="W279:X279"/>
    <mergeCell ref="W280:X280"/>
    <mergeCell ref="E272:F272"/>
    <mergeCell ref="N272:O272"/>
    <mergeCell ref="E273:F273"/>
    <mergeCell ref="N273:O273"/>
    <mergeCell ref="E274:F274"/>
    <mergeCell ref="N274:O274"/>
    <mergeCell ref="E275:F275"/>
    <mergeCell ref="N275:O275"/>
    <mergeCell ref="E267:F267"/>
    <mergeCell ref="N267:O267"/>
    <mergeCell ref="E271:F271"/>
    <mergeCell ref="N271:O271"/>
    <mergeCell ref="W267:X267"/>
    <mergeCell ref="E268:F268"/>
    <mergeCell ref="N268:O268"/>
    <mergeCell ref="E269:F269"/>
    <mergeCell ref="N269:O269"/>
    <mergeCell ref="E270:F270"/>
    <mergeCell ref="N270:O270"/>
    <mergeCell ref="B264:B266"/>
    <mergeCell ref="C264:H264"/>
    <mergeCell ref="K264:K266"/>
    <mergeCell ref="L264:Q264"/>
    <mergeCell ref="T264:T266"/>
    <mergeCell ref="U264:AB264"/>
    <mergeCell ref="C265:C266"/>
    <mergeCell ref="D265:D266"/>
    <mergeCell ref="E265:F266"/>
    <mergeCell ref="M265:M266"/>
    <mergeCell ref="N265:O266"/>
    <mergeCell ref="U265:U266"/>
    <mergeCell ref="V265:V266"/>
    <mergeCell ref="W265:X266"/>
    <mergeCell ref="Y265:Z265"/>
    <mergeCell ref="AA265:AB265"/>
    <mergeCell ref="D220:H220"/>
    <mergeCell ref="M220:Q220"/>
    <mergeCell ref="V220:AB220"/>
    <mergeCell ref="B222:B225"/>
    <mergeCell ref="C222:H222"/>
    <mergeCell ref="K222:K225"/>
    <mergeCell ref="L222:Q222"/>
    <mergeCell ref="T222:T225"/>
    <mergeCell ref="U222:AB222"/>
    <mergeCell ref="C223:C225"/>
    <mergeCell ref="D223:D225"/>
    <mergeCell ref="E223:F223"/>
    <mergeCell ref="G223:H223"/>
    <mergeCell ref="L223:L225"/>
    <mergeCell ref="M223:M225"/>
    <mergeCell ref="N223:O223"/>
    <mergeCell ref="P223:Q223"/>
    <mergeCell ref="U223:U225"/>
    <mergeCell ref="V223:V225"/>
    <mergeCell ref="W223:Y223"/>
    <mergeCell ref="Z223:AB223"/>
    <mergeCell ref="D217:H217"/>
    <mergeCell ref="M217:Q217"/>
    <mergeCell ref="V217:AB217"/>
    <mergeCell ref="D218:H218"/>
    <mergeCell ref="M218:Q218"/>
    <mergeCell ref="V218:AB218"/>
    <mergeCell ref="D219:H219"/>
    <mergeCell ref="M219:Q219"/>
    <mergeCell ref="V219:AB219"/>
    <mergeCell ref="B212:H212"/>
    <mergeCell ref="K212:Q212"/>
    <mergeCell ref="T212:AB212"/>
    <mergeCell ref="T213:AB213"/>
    <mergeCell ref="D215:H215"/>
    <mergeCell ref="M215:Q215"/>
    <mergeCell ref="V215:AB215"/>
    <mergeCell ref="D216:H216"/>
    <mergeCell ref="M216:Q216"/>
    <mergeCell ref="V216:AB216"/>
    <mergeCell ref="E206:F206"/>
    <mergeCell ref="N206:O206"/>
    <mergeCell ref="T207:T210"/>
    <mergeCell ref="U207:U210"/>
    <mergeCell ref="V207:V210"/>
    <mergeCell ref="W207:X207"/>
    <mergeCell ref="W208:X208"/>
    <mergeCell ref="W209:X209"/>
    <mergeCell ref="W210:X210"/>
    <mergeCell ref="E201:F201"/>
    <mergeCell ref="N201:O201"/>
    <mergeCell ref="E202:F202"/>
    <mergeCell ref="N202:O202"/>
    <mergeCell ref="E203:F203"/>
    <mergeCell ref="N203:O203"/>
    <mergeCell ref="E204:F204"/>
    <mergeCell ref="N204:O204"/>
    <mergeCell ref="E205:F205"/>
    <mergeCell ref="N205:O205"/>
    <mergeCell ref="E197:F197"/>
    <mergeCell ref="N197:O197"/>
    <mergeCell ref="W197:X197"/>
    <mergeCell ref="E198:F198"/>
    <mergeCell ref="N198:O198"/>
    <mergeCell ref="E199:F199"/>
    <mergeCell ref="N199:O199"/>
    <mergeCell ref="E200:F200"/>
    <mergeCell ref="N200:O200"/>
    <mergeCell ref="B194:B196"/>
    <mergeCell ref="C194:H194"/>
    <mergeCell ref="K194:K196"/>
    <mergeCell ref="L194:Q194"/>
    <mergeCell ref="T194:T196"/>
    <mergeCell ref="U194:AB194"/>
    <mergeCell ref="C195:C196"/>
    <mergeCell ref="D195:D196"/>
    <mergeCell ref="E195:F196"/>
    <mergeCell ref="M195:M196"/>
    <mergeCell ref="N195:O196"/>
    <mergeCell ref="U195:U196"/>
    <mergeCell ref="V195:V196"/>
    <mergeCell ref="W195:X196"/>
    <mergeCell ref="Y195:Z195"/>
    <mergeCell ref="AA195:AB195"/>
    <mergeCell ref="C153:C155"/>
    <mergeCell ref="D153:D155"/>
    <mergeCell ref="E153:F153"/>
    <mergeCell ref="G153:H153"/>
    <mergeCell ref="L153:L155"/>
    <mergeCell ref="M153:M155"/>
    <mergeCell ref="N153:O153"/>
    <mergeCell ref="P153:Q153"/>
    <mergeCell ref="U153:U155"/>
    <mergeCell ref="V153:V155"/>
    <mergeCell ref="W153:Y153"/>
    <mergeCell ref="Z153:AB153"/>
    <mergeCell ref="B54:B56"/>
    <mergeCell ref="E127:F127"/>
    <mergeCell ref="N127:O127"/>
    <mergeCell ref="D150:H150"/>
    <mergeCell ref="M150:Q150"/>
    <mergeCell ref="V150:AB150"/>
    <mergeCell ref="B152:B155"/>
    <mergeCell ref="C152:H152"/>
    <mergeCell ref="K152:K155"/>
    <mergeCell ref="L152:Q152"/>
    <mergeCell ref="T152:T155"/>
    <mergeCell ref="U152:AB152"/>
    <mergeCell ref="D147:H147"/>
    <mergeCell ref="M147:Q147"/>
    <mergeCell ref="V147:AB147"/>
    <mergeCell ref="D148:H148"/>
    <mergeCell ref="M148:Q148"/>
    <mergeCell ref="V148:AB148"/>
    <mergeCell ref="D149:H149"/>
    <mergeCell ref="M149:Q149"/>
    <mergeCell ref="B142:H142"/>
    <mergeCell ref="K142:Q142"/>
    <mergeCell ref="T142:AB142"/>
    <mergeCell ref="T143:AB143"/>
    <mergeCell ref="D145:H145"/>
    <mergeCell ref="M145:Q145"/>
    <mergeCell ref="V145:AB145"/>
    <mergeCell ref="D146:H146"/>
    <mergeCell ref="M146:Q146"/>
    <mergeCell ref="V146:AB146"/>
    <mergeCell ref="T72:AB72"/>
    <mergeCell ref="T73:AB73"/>
    <mergeCell ref="D75:H75"/>
    <mergeCell ref="M75:Q75"/>
    <mergeCell ref="V75:AB75"/>
    <mergeCell ref="E59:F59"/>
    <mergeCell ref="E60:F60"/>
    <mergeCell ref="E64:F64"/>
    <mergeCell ref="E65:F65"/>
    <mergeCell ref="E63:F63"/>
    <mergeCell ref="E62:F62"/>
    <mergeCell ref="N63:O63"/>
    <mergeCell ref="N64:O64"/>
    <mergeCell ref="N66:O66"/>
    <mergeCell ref="N59:O59"/>
    <mergeCell ref="N60:O60"/>
    <mergeCell ref="N61:O61"/>
    <mergeCell ref="N62:O62"/>
    <mergeCell ref="B72:H72"/>
    <mergeCell ref="K72:Q72"/>
    <mergeCell ref="E61:F61"/>
    <mergeCell ref="W68:X68"/>
    <mergeCell ref="K54:K56"/>
    <mergeCell ref="L54:Q54"/>
    <mergeCell ref="N57:O57"/>
    <mergeCell ref="E55:F56"/>
    <mergeCell ref="N55:O56"/>
    <mergeCell ref="U55:U56"/>
    <mergeCell ref="C55:C56"/>
    <mergeCell ref="D55:D56"/>
    <mergeCell ref="M55:M56"/>
    <mergeCell ref="E57:F57"/>
    <mergeCell ref="K12:K15"/>
    <mergeCell ref="L12:Q12"/>
    <mergeCell ref="L13:L15"/>
    <mergeCell ref="U54:AB54"/>
    <mergeCell ref="AA55:AB55"/>
    <mergeCell ref="Y55:Z55"/>
    <mergeCell ref="C12:H12"/>
    <mergeCell ref="E13:F13"/>
    <mergeCell ref="G13:H13"/>
    <mergeCell ref="C54:H54"/>
    <mergeCell ref="T12:T15"/>
    <mergeCell ref="B2:H2"/>
    <mergeCell ref="D5:H5"/>
    <mergeCell ref="D6:H6"/>
    <mergeCell ref="D7:H7"/>
    <mergeCell ref="D8:H8"/>
    <mergeCell ref="D9:H9"/>
    <mergeCell ref="D10:H10"/>
    <mergeCell ref="B12:B15"/>
    <mergeCell ref="V9:AB9"/>
    <mergeCell ref="T2:AB2"/>
    <mergeCell ref="V5:AB5"/>
    <mergeCell ref="V6:AB6"/>
    <mergeCell ref="V7:AB7"/>
    <mergeCell ref="V8:AB8"/>
    <mergeCell ref="T3:AB3"/>
    <mergeCell ref="K2:Q2"/>
    <mergeCell ref="M5:Q5"/>
    <mergeCell ref="M6:Q6"/>
    <mergeCell ref="P13:Q13"/>
    <mergeCell ref="M7:Q7"/>
    <mergeCell ref="M8:Q8"/>
    <mergeCell ref="M9:Q9"/>
    <mergeCell ref="V10:AB10"/>
    <mergeCell ref="U12:AB12"/>
    <mergeCell ref="C13:C15"/>
    <mergeCell ref="M10:Q10"/>
    <mergeCell ref="D78:H78"/>
    <mergeCell ref="M78:Q78"/>
    <mergeCell ref="V78:AB78"/>
    <mergeCell ref="D79:H79"/>
    <mergeCell ref="M79:Q79"/>
    <mergeCell ref="V79:AB79"/>
    <mergeCell ref="D76:H76"/>
    <mergeCell ref="M76:Q76"/>
    <mergeCell ref="V76:AB76"/>
    <mergeCell ref="D77:H77"/>
    <mergeCell ref="M77:Q77"/>
    <mergeCell ref="V77:AB77"/>
    <mergeCell ref="N65:O65"/>
    <mergeCell ref="D13:D15"/>
    <mergeCell ref="V13:V15"/>
    <mergeCell ref="W57:X57"/>
    <mergeCell ref="W55:X56"/>
    <mergeCell ref="V55:V56"/>
    <mergeCell ref="M13:M15"/>
    <mergeCell ref="N13:O13"/>
    <mergeCell ref="W13:Y13"/>
    <mergeCell ref="Z13:AB13"/>
    <mergeCell ref="E66:F66"/>
    <mergeCell ref="U67:U70"/>
    <mergeCell ref="T67:T70"/>
    <mergeCell ref="W67:X67"/>
    <mergeCell ref="W69:X69"/>
    <mergeCell ref="W70:X70"/>
    <mergeCell ref="U13:U15"/>
    <mergeCell ref="N58:O58"/>
    <mergeCell ref="E58:F58"/>
    <mergeCell ref="T54:T56"/>
    <mergeCell ref="B124:B126"/>
    <mergeCell ref="C124:H124"/>
    <mergeCell ref="K124:K126"/>
    <mergeCell ref="L124:Q124"/>
    <mergeCell ref="T124:T126"/>
    <mergeCell ref="U124:AB124"/>
    <mergeCell ref="C125:C126"/>
    <mergeCell ref="D125:D126"/>
    <mergeCell ref="E125:F126"/>
    <mergeCell ref="M125:M126"/>
    <mergeCell ref="N125:O126"/>
    <mergeCell ref="U125:U126"/>
    <mergeCell ref="V125:V126"/>
    <mergeCell ref="W125:X126"/>
    <mergeCell ref="Y125:Z125"/>
    <mergeCell ref="AA125:AB125"/>
    <mergeCell ref="B82:B85"/>
    <mergeCell ref="D80:H80"/>
    <mergeCell ref="M80:Q80"/>
    <mergeCell ref="V83:V85"/>
    <mergeCell ref="W83:Y83"/>
    <mergeCell ref="Z83:AB83"/>
    <mergeCell ref="C83:C85"/>
    <mergeCell ref="D83:D85"/>
    <mergeCell ref="E83:F83"/>
    <mergeCell ref="G83:H83"/>
    <mergeCell ref="L83:L85"/>
    <mergeCell ref="M83:M85"/>
    <mergeCell ref="N83:O83"/>
    <mergeCell ref="C82:H82"/>
    <mergeCell ref="K82:K85"/>
    <mergeCell ref="L82:Q82"/>
    <mergeCell ref="T82:T85"/>
    <mergeCell ref="U82:AB82"/>
    <mergeCell ref="V80:AB80"/>
    <mergeCell ref="P83:Q83"/>
    <mergeCell ref="U83:U85"/>
    <mergeCell ref="E128:F128"/>
    <mergeCell ref="N128:O128"/>
    <mergeCell ref="E129:F129"/>
    <mergeCell ref="N129:O129"/>
    <mergeCell ref="E130:F130"/>
    <mergeCell ref="N130:O130"/>
    <mergeCell ref="T137:T140"/>
    <mergeCell ref="U137:U140"/>
    <mergeCell ref="V137:V140"/>
    <mergeCell ref="W137:X137"/>
    <mergeCell ref="W138:X138"/>
    <mergeCell ref="W139:X139"/>
    <mergeCell ref="W140:X140"/>
    <mergeCell ref="E131:F131"/>
    <mergeCell ref="N131:O131"/>
    <mergeCell ref="E132:F132"/>
    <mergeCell ref="N132:O132"/>
    <mergeCell ref="E133:F133"/>
    <mergeCell ref="N133:O133"/>
    <mergeCell ref="E134:F134"/>
    <mergeCell ref="N134:O134"/>
    <mergeCell ref="E135:F135"/>
    <mergeCell ref="N135:O135"/>
    <mergeCell ref="E136:F136"/>
    <mergeCell ref="N136:O136"/>
  </mergeCells>
  <dataValidations count="2">
    <dataValidation type="decimal" operator="lessThan" allowBlank="1" showInputMessage="1" showErrorMessage="1" error="Není možné zadat hodnotu vyšší než je Cenový strop pro tuto položku." sqref="F107:F108" xr:uid="{00000000-0002-0000-0400-000000000000}">
      <formula1>K79</formula1>
    </dataValidation>
    <dataValidation type="decimal" operator="lessThan" allowBlank="1" showInputMessage="1" showErrorMessage="1" error="Není možné zadat hodnotu vyšší než je Cenový strop pro tuto položku._x000a_" sqref="H107:H108" xr:uid="{00000000-0002-0000-0400-000001000000}">
      <formula1>L79</formula1>
    </dataValidation>
  </dataValidations>
  <pageMargins left="0.7" right="0.7" top="0.78740157499999996" bottom="0.78740157499999996" header="0.3" footer="0.3"/>
  <pageSetup paperSize="9" scale="71" orientation="portrait" horizontalDpi="4294967293" verticalDpi="4294967293" r:id="rId1"/>
  <colBreaks count="3" manualBreakCount="3">
    <brk id="9" max="1048575" man="1"/>
    <brk id="18" max="1048575" man="1"/>
    <brk id="29" max="1048575" man="1"/>
  </colBreaks>
  <ignoredErrors>
    <ignoredError sqref="E17:G17 E22 E25:G25 E28:G28 E33:G33 N33:P33 W33:AB33 E103:G103 N103:P103 W103:AB103 Y107:Z107 W104:Y104 AB104 AB105:AB107 E173:G173 N173:P173 W173:Z173 E243:H243 N243:P243 W243:Z243 E313:G313 N313:P313 E383:G383 W523:Z523 N523:P523 E523:G523 N593:P593 E733:G733 N733:P733 W733:Z733 E663:G663 N663:P663 E593:G593 W593:Z593 W453:Z453 W663:Z663 E453:G453 N453:P453 W383:Z383 N383:P383 W313:Z313 Y105 Y106 G22" formulaRange="1"/>
    <ignoredError sqref="X28:Y28 X25:Y25 X22:Y22 AA22:AB28 X92:AB92 Y41 AB41 Y111:AB111 X95:AB95 Y93:Z94 X98:AB98 Y96 Y97 AB93:AB94 AB96 AB97 X168:AB168 Y178:AB178 Y181:AB181 X162:AB162 X165:AB165 X232:AB232 X235:AB235 X238:AB238 Y248:AB248 Y251:AB251 X512:AB512 X515:AB515 X518:AB518 Y528:AB528 Y531:AB531 Y671:AB671 Y738:AB738 Y741:AB741 X728:AB728 X725:AB725 X722:AB722 X585:AB585 Y598:AB598 Y601:AB601 X448:AB448 Y458:AB458 Y461:AB461 X582:AB582 X652:AB652 X655:AB655 X658:AB658 X442:AB442 Y388:AB388 X372:AB373 X302:AB303 Y318:AB318 X305:AB305 X304:Y304 AA304:AB304 X308:AB308 X306:Y306 AA306:AB306 X307:Y307 AA307:AB307 Y321:AB321 Y319 AA319:AB319 Y320 AA320:AB320 X375:AB375 X374:Y374 AA374:AB374 X378:AB378 X376:Y376 AA376:AB376 X377:Y377 AA377:AB377 Y391:AB391 Y389 AA389:AB389 Y390 AA390:AB390 X445:AB445 X443:Y443 AA443:AB443 X444:Y444 AA444:AB444 X588:AB588 X586:Y586 AA586:AB586 X587:Y587 AA587:AB587 AA668:AB668 Y38 AB38 Y108 AB108 Y66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9" id="{CE439D36-9E53-4208-AC50-BF19F9AF5A53}">
            <xm:f>Provozování!$E$36&lt;Postup!$E$31</xm:f>
            <x14:dxf>
              <font>
                <b/>
                <i val="0"/>
                <color rgb="FFFF0000"/>
              </font>
            </x14:dxf>
          </x14:cfRule>
          <xm:sqref>B68</xm:sqref>
        </x14:conditionalFormatting>
        <x14:conditionalFormatting xmlns:xm="http://schemas.microsoft.com/office/excel/2006/main">
          <x14:cfRule type="expression" priority="248" id="{E28807DF-D841-4409-A1FE-B953E9C2CD7B}">
            <xm:f>Provozování!$F$36&lt;Postup!$E$32</xm:f>
            <x14:dxf>
              <font>
                <b/>
                <i val="0"/>
                <color rgb="FFFF0000"/>
              </font>
            </x14:dxf>
          </x14:cfRule>
          <xm:sqref>B69</xm:sqref>
        </x14:conditionalFormatting>
        <x14:conditionalFormatting xmlns:xm="http://schemas.microsoft.com/office/excel/2006/main">
          <x14:cfRule type="expression" priority="218" id="{5DF499E5-911B-4EA8-B969-2B34A5D429E0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AG43:AG52 AG34:AG41</xm:sqref>
        </x14:conditionalFormatting>
        <x14:conditionalFormatting xmlns:xm="http://schemas.microsoft.com/office/excel/2006/main">
          <x14:cfRule type="expression" priority="171" id="{7946E2E0-7AF5-4D29-B994-1748BE1EB031}">
            <xm:f>Provozování!$O$36&lt;Postup!$F$31</xm:f>
            <x14:dxf>
              <font>
                <b/>
                <i val="0"/>
                <color rgb="FFFF0000"/>
              </font>
            </x14:dxf>
          </x14:cfRule>
          <xm:sqref>B138</xm:sqref>
        </x14:conditionalFormatting>
        <x14:conditionalFormatting xmlns:xm="http://schemas.microsoft.com/office/excel/2006/main">
          <x14:cfRule type="expression" priority="170" id="{48AB1E15-DEE0-44C0-A78B-F8AA9D080D7B}">
            <xm:f>Provozování!$P$36&lt;Postup!$F$32</xm:f>
            <x14:dxf>
              <font>
                <b/>
                <i val="0"/>
                <color rgb="FFFF0000"/>
              </font>
            </x14:dxf>
          </x14:cfRule>
          <xm:sqref>B139</xm:sqref>
        </x14:conditionalFormatting>
        <x14:conditionalFormatting xmlns:xm="http://schemas.microsoft.com/office/excel/2006/main">
          <x14:cfRule type="expression" priority="169" id="{8A25660D-841E-483C-AB27-8865D853ED5E}">
            <xm:f>Provozování!$T$36&lt;Postup!$G$31</xm:f>
            <x14:dxf>
              <font>
                <b/>
                <i val="0"/>
                <color rgb="FFFF0000"/>
              </font>
            </x14:dxf>
          </x14:cfRule>
          <xm:sqref>B208</xm:sqref>
        </x14:conditionalFormatting>
        <x14:conditionalFormatting xmlns:xm="http://schemas.microsoft.com/office/excel/2006/main">
          <x14:cfRule type="expression" priority="168" id="{7A54B5E6-243C-44FD-AA07-2EEB3841565B}">
            <xm:f>Provozování!$U$36&lt;Postup!$G$32</xm:f>
            <x14:dxf>
              <font>
                <b/>
                <i val="0"/>
                <color rgb="FFFF0000"/>
              </font>
            </x14:dxf>
          </x14:cfRule>
          <xm:sqref>B209</xm:sqref>
        </x14:conditionalFormatting>
        <x14:conditionalFormatting xmlns:xm="http://schemas.microsoft.com/office/excel/2006/main">
          <x14:cfRule type="expression" priority="167" id="{43F0CC58-5110-44C4-A164-05B4D7426B1C}">
            <xm:f>Provozování!$Y$36&lt;Postup!$H$31</xm:f>
            <x14:dxf>
              <font>
                <b/>
                <i val="0"/>
                <color rgb="FFFF0000"/>
              </font>
            </x14:dxf>
          </x14:cfRule>
          <xm:sqref>B278</xm:sqref>
        </x14:conditionalFormatting>
        <x14:conditionalFormatting xmlns:xm="http://schemas.microsoft.com/office/excel/2006/main">
          <x14:cfRule type="expression" priority="166" id="{F5ECDD3C-D634-48A2-9DA5-2C3561B59C61}">
            <xm:f>Provozování!$Z$36&lt;Postup!$H$32</xm:f>
            <x14:dxf>
              <font>
                <b/>
                <i val="0"/>
                <color rgb="FFFF0000"/>
              </font>
            </x14:dxf>
          </x14:cfRule>
          <xm:sqref>B279</xm:sqref>
        </x14:conditionalFormatting>
        <x14:conditionalFormatting xmlns:xm="http://schemas.microsoft.com/office/excel/2006/main">
          <x14:cfRule type="expression" priority="165" id="{ACF4247D-4960-432A-9CAD-F86E184C5E01}">
            <xm:f>Provozování!$AD$36&lt;Postup!$I$31</xm:f>
            <x14:dxf>
              <font>
                <b/>
                <i val="0"/>
                <color rgb="FFFF0000"/>
              </font>
            </x14:dxf>
          </x14:cfRule>
          <xm:sqref>B348</xm:sqref>
        </x14:conditionalFormatting>
        <x14:conditionalFormatting xmlns:xm="http://schemas.microsoft.com/office/excel/2006/main">
          <x14:cfRule type="expression" priority="164" id="{2912F12D-C4AF-40AF-8BE8-D269AD68287A}">
            <xm:f>Provozování!$AE$36&lt;Postup!$I$32</xm:f>
            <x14:dxf>
              <font>
                <b/>
                <i val="0"/>
                <color rgb="FFFF0000"/>
              </font>
            </x14:dxf>
          </x14:cfRule>
          <xm:sqref>B349</xm:sqref>
        </x14:conditionalFormatting>
        <x14:conditionalFormatting xmlns:xm="http://schemas.microsoft.com/office/excel/2006/main">
          <x14:cfRule type="expression" priority="163" id="{E0CED51F-C537-4971-B911-B7CF4B237297}">
            <xm:f>Provozování!$AI$36&lt;Postup!$J$31</xm:f>
            <x14:dxf>
              <font>
                <b/>
                <i val="0"/>
                <color rgb="FFFF0000"/>
              </font>
            </x14:dxf>
          </x14:cfRule>
          <xm:sqref>B418</xm:sqref>
        </x14:conditionalFormatting>
        <x14:conditionalFormatting xmlns:xm="http://schemas.microsoft.com/office/excel/2006/main">
          <x14:cfRule type="expression" priority="162" id="{8A37824F-861E-4979-9669-637F8D3DDEE7}">
            <xm:f>Provozování!$AJ$36&lt;Postup!$J$32</xm:f>
            <x14:dxf>
              <font>
                <b/>
                <i val="0"/>
                <color rgb="FFFF0000"/>
              </font>
            </x14:dxf>
          </x14:cfRule>
          <xm:sqref>B419</xm:sqref>
        </x14:conditionalFormatting>
        <x14:conditionalFormatting xmlns:xm="http://schemas.microsoft.com/office/excel/2006/main">
          <x14:cfRule type="expression" priority="161" id="{F152014E-7573-45BD-878D-C4AEEB678483}">
            <xm:f>Provozování!$AN$36&lt;Postup!$K$31</xm:f>
            <x14:dxf>
              <font>
                <b/>
                <i val="0"/>
                <color rgb="FFFF0000"/>
              </font>
            </x14:dxf>
          </x14:cfRule>
          <xm:sqref>B488</xm:sqref>
        </x14:conditionalFormatting>
        <x14:conditionalFormatting xmlns:xm="http://schemas.microsoft.com/office/excel/2006/main">
          <x14:cfRule type="expression" priority="160" id="{C452429C-1E38-4FBF-87DA-85D7B65D2F24}">
            <xm:f>Provozování!$AO$36&lt;Postup!$K$32</xm:f>
            <x14:dxf>
              <font>
                <b/>
                <i val="0"/>
                <color rgb="FFFF0000"/>
              </font>
            </x14:dxf>
          </x14:cfRule>
          <xm:sqref>B489</xm:sqref>
        </x14:conditionalFormatting>
        <x14:conditionalFormatting xmlns:xm="http://schemas.microsoft.com/office/excel/2006/main">
          <x14:cfRule type="expression" priority="159" id="{0E2DEF0E-7A70-4C0B-B7B8-68197E678A35}">
            <xm:f>Provozování!$AS$36&lt;Postup!$L$31</xm:f>
            <x14:dxf>
              <font>
                <b/>
                <i val="0"/>
                <color rgb="FFFF0000"/>
              </font>
            </x14:dxf>
          </x14:cfRule>
          <xm:sqref>B558</xm:sqref>
        </x14:conditionalFormatting>
        <x14:conditionalFormatting xmlns:xm="http://schemas.microsoft.com/office/excel/2006/main">
          <x14:cfRule type="expression" priority="158" id="{F4667D02-3548-4597-82E3-4E059D945CCF}">
            <xm:f>Provozování!$AT$36&lt;Postup!$L$32</xm:f>
            <x14:dxf>
              <font>
                <b/>
                <i val="0"/>
                <color rgb="FFFF0000"/>
              </font>
            </x14:dxf>
          </x14:cfRule>
          <xm:sqref>B559</xm:sqref>
        </x14:conditionalFormatting>
        <x14:conditionalFormatting xmlns:xm="http://schemas.microsoft.com/office/excel/2006/main">
          <x14:cfRule type="expression" priority="157" id="{94B8BFA7-3BB2-4BCB-8908-484C6FAAB119}">
            <xm:f>Provozování!$AX$36&lt;Postup!$M$31</xm:f>
            <x14:dxf>
              <font>
                <b/>
                <i val="0"/>
                <color rgb="FFFF0000"/>
              </font>
            </x14:dxf>
          </x14:cfRule>
          <xm:sqref>B628</xm:sqref>
        </x14:conditionalFormatting>
        <x14:conditionalFormatting xmlns:xm="http://schemas.microsoft.com/office/excel/2006/main">
          <x14:cfRule type="expression" priority="156" id="{D480EE09-8D01-48B9-923F-8F0D27D10ACD}">
            <xm:f>Provozování!$AY$36&lt;Postup!$M$32</xm:f>
            <x14:dxf>
              <font>
                <b/>
                <i val="0"/>
                <color rgb="FFFF0000"/>
              </font>
            </x14:dxf>
          </x14:cfRule>
          <xm:sqref>B629</xm:sqref>
        </x14:conditionalFormatting>
        <x14:conditionalFormatting xmlns:xm="http://schemas.microsoft.com/office/excel/2006/main">
          <x14:cfRule type="expression" priority="155" id="{E20CC385-61F9-4D26-8C85-260CE7171B95}">
            <xm:f>Provozování!$BC$36&lt;Postup!$N$31</xm:f>
            <x14:dxf>
              <font>
                <b/>
                <i val="0"/>
                <color rgb="FFFF0000"/>
              </font>
            </x14:dxf>
          </x14:cfRule>
          <xm:sqref>B698</xm:sqref>
        </x14:conditionalFormatting>
        <x14:conditionalFormatting xmlns:xm="http://schemas.microsoft.com/office/excel/2006/main">
          <x14:cfRule type="expression" priority="154" id="{40839146-015A-4734-9324-3569E6BBBEB0}">
            <xm:f>Provozování!$BD$36&lt;Postup!$N$32</xm:f>
            <x14:dxf>
              <font>
                <b/>
                <i val="0"/>
                <color rgb="FFFF0000"/>
              </font>
            </x14:dxf>
          </x14:cfRule>
          <xm:sqref>B699</xm:sqref>
        </x14:conditionalFormatting>
        <x14:conditionalFormatting xmlns:xm="http://schemas.microsoft.com/office/excel/2006/main">
          <x14:cfRule type="expression" priority="153" id="{AE137F1F-2559-4F3F-8B05-A3F74629251C}">
            <xm:f>Provozování!$BH$36&lt;Postup!$O$31</xm:f>
            <x14:dxf>
              <font>
                <b/>
                <i val="0"/>
                <color rgb="FFFF0000"/>
              </font>
            </x14:dxf>
          </x14:cfRule>
          <xm:sqref>B768</xm:sqref>
        </x14:conditionalFormatting>
        <x14:conditionalFormatting xmlns:xm="http://schemas.microsoft.com/office/excel/2006/main">
          <x14:cfRule type="expression" priority="152" id="{98F4C91C-EA26-49A3-9093-E2F43009A26C}">
            <xm:f>Provozování!$BI$36&lt;Postup!$O$32</xm:f>
            <x14:dxf>
              <font>
                <b/>
                <i val="0"/>
                <color rgb="FFFF0000"/>
              </font>
            </x14:dxf>
          </x14:cfRule>
          <xm:sqref>B769</xm:sqref>
        </x14:conditionalFormatting>
        <x14:conditionalFormatting xmlns:xm="http://schemas.microsoft.com/office/excel/2006/main">
          <x14:cfRule type="expression" priority="151" id="{7545E254-6028-422D-A902-241B235BA96B}">
            <xm:f>Provozování!$E$36&lt;Postup!$E$31</xm:f>
            <x14:dxf>
              <font>
                <b/>
                <i val="0"/>
                <color rgb="FFFF0000"/>
              </font>
            </x14:dxf>
          </x14:cfRule>
          <xm:sqref>E557</xm:sqref>
        </x14:conditionalFormatting>
        <x14:conditionalFormatting xmlns:xm="http://schemas.microsoft.com/office/excel/2006/main">
          <x14:cfRule type="expression" priority="150" id="{B4C59F40-B3CD-412E-A98A-1290F3108744}">
            <xm:f>Provozování!$F$36&lt;Postup!$E$32</xm:f>
            <x14:dxf>
              <font>
                <b/>
                <i val="0"/>
                <color rgb="FFFF0000"/>
              </font>
            </x14:dxf>
          </x14:cfRule>
          <xm:sqref>E558</xm:sqref>
        </x14:conditionalFormatting>
        <x14:conditionalFormatting xmlns:xm="http://schemas.microsoft.com/office/excel/2006/main">
          <x14:cfRule type="expression" priority="149" id="{99EA46A1-5BDD-46DD-9772-AB0D3F3F97F5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AH43:AH52 AH34:AH41</xm:sqref>
        </x14:conditionalFormatting>
        <x14:conditionalFormatting xmlns:xm="http://schemas.microsoft.com/office/excel/2006/main">
          <x14:cfRule type="expression" priority="148" id="{297E9C1E-864F-4F46-BE09-F14B8CDF4B7A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AE43:AH52 AE34:AH41</xm:sqref>
        </x14:conditionalFormatting>
        <x14:conditionalFormatting xmlns:xm="http://schemas.microsoft.com/office/excel/2006/main">
          <x14:cfRule type="expression" priority="117" id="{3311EDC0-5831-4DD4-A105-5D6DA1DE3AAA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AA55:AB70 Z13:AB52 P13:Q52 G13:H52 H55:H66 Q55:Q66</xm:sqref>
        </x14:conditionalFormatting>
        <x14:conditionalFormatting xmlns:xm="http://schemas.microsoft.com/office/excel/2006/main">
          <x14:cfRule type="expression" priority="116" id="{1F3F8F5E-9157-424D-8534-7C3B916FB737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E13:F52 G55:G66 P55:P66 N13:O52 W13:Y52 Y55:Z70</xm:sqref>
        </x14:conditionalFormatting>
        <x14:conditionalFormatting xmlns:xm="http://schemas.microsoft.com/office/excel/2006/main">
          <x14:cfRule type="expression" priority="115" id="{0B3820E5-44F9-48D3-BA78-A525D39AC42E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G83:H122 H125:H136 Q125:Q136 AA125:AB140 Z83:AB122 P83:Q122</xm:sqref>
        </x14:conditionalFormatting>
        <x14:conditionalFormatting xmlns:xm="http://schemas.microsoft.com/office/excel/2006/main">
          <x14:cfRule type="expression" priority="114" id="{84AFED83-6E81-4C91-A5F0-EAC15966A422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G153:H192 P153:Q192 Z153:AB192 AA195:AB210 Q195:Q206 H195:H206</xm:sqref>
        </x14:conditionalFormatting>
        <x14:conditionalFormatting xmlns:xm="http://schemas.microsoft.com/office/excel/2006/main">
          <x14:cfRule type="expression" priority="113" id="{7950ECC0-B477-4347-816E-3F3D40A54A83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G223:H262 P223:Q262 Z223:AB262 H265:H276 Q265:Q276 AA265:AB280</xm:sqref>
        </x14:conditionalFormatting>
        <x14:conditionalFormatting xmlns:xm="http://schemas.microsoft.com/office/excel/2006/main">
          <x14:cfRule type="expression" priority="112" id="{D7C368C5-9474-421A-A01E-43269E921A56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G293:H332 Z293:AB332 H335:H346 Q335:Q346 AA335:AB350 P293:Q332</xm:sqref>
        </x14:conditionalFormatting>
        <x14:conditionalFormatting xmlns:xm="http://schemas.microsoft.com/office/excel/2006/main">
          <x14:cfRule type="expression" priority="111" id="{FB400A3D-4C9E-47C2-BF0F-8462A5208891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G363:H402 P363:Q402 Z363:AB402 H405:H416 Q405:Q416 AA405:AB420</xm:sqref>
        </x14:conditionalFormatting>
        <x14:conditionalFormatting xmlns:xm="http://schemas.microsoft.com/office/excel/2006/main">
          <x14:cfRule type="expression" priority="110" id="{AB1F0EB4-2FBE-4262-AC83-C081D32D709C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G433:H472 P433:Q472 Z433:AB472 H475:H486 Q475:Q486 AA475:AB490</xm:sqref>
        </x14:conditionalFormatting>
        <x14:conditionalFormatting xmlns:xm="http://schemas.microsoft.com/office/excel/2006/main">
          <x14:cfRule type="expression" priority="109" id="{D4493893-09F9-4008-B550-0A344D1E8DBF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G503:H542 P503:Q542 Z503:AB542 H545:H556 Q545:Q556 AA545:AB560</xm:sqref>
        </x14:conditionalFormatting>
        <x14:conditionalFormatting xmlns:xm="http://schemas.microsoft.com/office/excel/2006/main">
          <x14:cfRule type="expression" priority="108" id="{8DE32B6C-0E70-4DD0-822A-52E7FA02C268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G573:H612 P573:Q612 Z573:AB612 H615:H626 Q615:Q626 AA615:AB630</xm:sqref>
        </x14:conditionalFormatting>
        <x14:conditionalFormatting xmlns:xm="http://schemas.microsoft.com/office/excel/2006/main">
          <x14:cfRule type="expression" priority="107" id="{62F60233-24A1-4F4F-9A7A-CCDD03B40E49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G643:H682 P643:Q682 Z643:AB682 H685:H696 Q685:Q696 AA685:AB700</xm:sqref>
        </x14:conditionalFormatting>
        <x14:conditionalFormatting xmlns:xm="http://schemas.microsoft.com/office/excel/2006/main">
          <x14:cfRule type="expression" priority="106" id="{F37FCA11-61BA-4804-A5CD-0F72FEAD97EF}">
            <xm:f>Postup!$K$21="1"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G713:H752 P713:Q752 Z713:AB752 H755:H766 Q755:Q766 AA755:AB770</xm:sqref>
        </x14:conditionalFormatting>
        <x14:conditionalFormatting xmlns:xm="http://schemas.microsoft.com/office/excel/2006/main">
          <x14:cfRule type="expression" priority="105" id="{C0E808AD-C4DF-4722-8CB9-56BA2EBF55E0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E83:F122 N83:O122 W83:Y122 Y125:Z140 P125:P136 G125:G136</xm:sqref>
        </x14:conditionalFormatting>
        <x14:conditionalFormatting xmlns:xm="http://schemas.microsoft.com/office/excel/2006/main">
          <x14:cfRule type="expression" priority="104" id="{EF927E23-06E5-4ABE-B3AB-A66BBA81098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E153:F192 N153:O192 W153:Y192 G195:G206 P195:P206 Y195:Z210</xm:sqref>
        </x14:conditionalFormatting>
        <x14:conditionalFormatting xmlns:xm="http://schemas.microsoft.com/office/excel/2006/main">
          <x14:cfRule type="expression" priority="103" id="{53FD701D-16A3-4001-85A2-9839F741208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E223:F262 N223:O262 W223:Y262 Y265:Z280 P265:P276 G265:G276</xm:sqref>
        </x14:conditionalFormatting>
        <x14:conditionalFormatting xmlns:xm="http://schemas.microsoft.com/office/excel/2006/main">
          <x14:cfRule type="expression" priority="102" id="{60210431-26B9-428E-B2D3-9E1F81454BB8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E293:F332 W293:Y332 G335:G346 P335:P346 Y335:Z350 N293:O332</xm:sqref>
        </x14:conditionalFormatting>
        <x14:conditionalFormatting xmlns:xm="http://schemas.microsoft.com/office/excel/2006/main">
          <x14:cfRule type="expression" priority="101" id="{BF7C739C-8566-4B2B-9F3C-6997D67F793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E363:F402 N363:O402 W363:Y403 G405:G416 P405:P416 Y405:Z420</xm:sqref>
        </x14:conditionalFormatting>
        <x14:conditionalFormatting xmlns:xm="http://schemas.microsoft.com/office/excel/2006/main">
          <x14:cfRule type="expression" priority="100" id="{BEF7CB41-A52B-46BE-9B67-18A5F070EAB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E433:F472 N433:O472 W433:Y472 Y475:Z490 P475:P486 G475:G486</xm:sqref>
        </x14:conditionalFormatting>
        <x14:conditionalFormatting xmlns:xm="http://schemas.microsoft.com/office/excel/2006/main">
          <x14:cfRule type="expression" priority="99" id="{8CA5EB32-FDCA-42DD-BAD0-1C96A764F72A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E503:F542 N503:O542 W503:Y542 G545:G556 P545:P556 Y545:Z560</xm:sqref>
        </x14:conditionalFormatting>
        <x14:conditionalFormatting xmlns:xm="http://schemas.microsoft.com/office/excel/2006/main">
          <x14:cfRule type="expression" priority="98" id="{00546056-90C8-44AD-8992-730A0A070694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E573:F612 N573:O612 W573:Y612 G615:G626 P615:P626 Y615:Z630</xm:sqref>
        </x14:conditionalFormatting>
        <x14:conditionalFormatting xmlns:xm="http://schemas.microsoft.com/office/excel/2006/main">
          <x14:cfRule type="expression" priority="97" id="{BFDE5D74-0844-4C60-9AAA-C7866BB2ED65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E643:F682 N643:O682 W643:Y682 G685:G696 P685:P696 Y685:Z700</xm:sqref>
        </x14:conditionalFormatting>
        <x14:conditionalFormatting xmlns:xm="http://schemas.microsoft.com/office/excel/2006/main">
          <x14:cfRule type="expression" priority="96" id="{33DAF500-5376-40DB-B9BE-0CC260786CB7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E713:F752 N713:O752 W713:Y752 G755:G766 P755:P766 Y755:Z770</xm:sqref>
        </x14:conditionalFormatting>
        <x14:conditionalFormatting xmlns:xm="http://schemas.microsoft.com/office/excel/2006/main">
          <x14:cfRule type="expression" priority="74" id="{BA37B5F7-183F-4A44-8CEE-28DC3283C592}">
            <xm:f>OR(Postup!$K$18="0",Postup!$K$18="0")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B5:H66 K5:Q66 T5:AB70 B75:AB770</xm:sqref>
        </x14:conditionalFormatting>
        <x14:conditionalFormatting xmlns:xm="http://schemas.microsoft.com/office/excel/2006/main">
          <x14:cfRule type="expression" priority="84" id="{9A906F3C-C97B-41A0-96B3-C010162415F4}">
            <xm:f>$D$74&gt;Postup!$J$25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B75:H136 K75:Q136 T75:AB140</xm:sqref>
        </x14:conditionalFormatting>
        <x14:conditionalFormatting xmlns:xm="http://schemas.microsoft.com/office/excel/2006/main">
          <x14:cfRule type="expression" priority="83" id="{C4211D86-DDC8-43A0-A039-C125C4D57166}">
            <xm:f>$D$144&gt;Postup!$J$25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B145:H206 K145:Q206 T145:AB210</xm:sqref>
        </x14:conditionalFormatting>
        <x14:conditionalFormatting xmlns:xm="http://schemas.microsoft.com/office/excel/2006/main">
          <x14:cfRule type="expression" priority="82" id="{6B915779-C34B-4392-BA21-86916AE12D6D}">
            <xm:f>$D$214&gt;Postup!$J$25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B215:H276 K215:Q276 T215:AB280</xm:sqref>
        </x14:conditionalFormatting>
        <x14:conditionalFormatting xmlns:xm="http://schemas.microsoft.com/office/excel/2006/main">
          <x14:cfRule type="expression" priority="81" id="{7F33DE16-94CC-4BD1-8644-88A7828B9E7D}">
            <xm:f>$D$284&gt;Postup!$J$25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B285:H346 T285:AB350 K285:Q346</xm:sqref>
        </x14:conditionalFormatting>
        <x14:conditionalFormatting xmlns:xm="http://schemas.microsoft.com/office/excel/2006/main">
          <x14:cfRule type="expression" priority="80" id="{EC6C2218-B427-4F77-85C3-C99C193300D0}">
            <xm:f>$D$354&gt;Postup!$J$25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B355:H416 K355:Q416 T355:AB420</xm:sqref>
        </x14:conditionalFormatting>
        <x14:conditionalFormatting xmlns:xm="http://schemas.microsoft.com/office/excel/2006/main">
          <x14:cfRule type="expression" priority="79" id="{B294FB5E-A51E-4F82-B5EA-91D75689EB67}">
            <xm:f>$D$424&gt;Postup!$J$25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B425:H486 K425:Q486 T425:AB490</xm:sqref>
        </x14:conditionalFormatting>
        <x14:conditionalFormatting xmlns:xm="http://schemas.microsoft.com/office/excel/2006/main">
          <x14:cfRule type="expression" priority="78" id="{68C4768D-5979-4BF6-B2DC-ABA204F54E76}">
            <xm:f>$D$494&gt;Postup!$J$25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B495:H556 K495:Q556 T495:AB560</xm:sqref>
        </x14:conditionalFormatting>
        <x14:conditionalFormatting xmlns:xm="http://schemas.microsoft.com/office/excel/2006/main">
          <x14:cfRule type="expression" priority="77" id="{019F83AC-7A1E-4C81-BE2B-1245B2DB2C86}">
            <xm:f>$D$564&gt;Postup!$J$25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B565:H626 K565:Q626 T565:AB630</xm:sqref>
        </x14:conditionalFormatting>
        <x14:conditionalFormatting xmlns:xm="http://schemas.microsoft.com/office/excel/2006/main">
          <x14:cfRule type="expression" priority="76" id="{B0C37031-496C-4975-8670-797D25BB58BF}">
            <xm:f>$D$634&gt;Postup!$J$25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B635:H696 K635:Q696 T635:AB700</xm:sqref>
        </x14:conditionalFormatting>
        <x14:conditionalFormatting xmlns:xm="http://schemas.microsoft.com/office/excel/2006/main">
          <x14:cfRule type="expression" priority="75" id="{0C56A552-57FC-421A-8722-32C8F2AC9030}">
            <xm:f>$D$704&gt;Postup!$J$25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B705:H766 K705:Q766 T705:AB770</xm:sqref>
        </x14:conditionalFormatting>
        <x14:conditionalFormatting xmlns:xm="http://schemas.microsoft.com/office/excel/2006/main">
          <x14:cfRule type="expression" priority="85" id="{3B080EC6-27A4-4450-A2A2-02B04FF3DE24}">
            <xm:f>Provozování!$I$16="Neaktivní"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K5:Q66</xm:sqref>
        </x14:conditionalFormatting>
        <x14:conditionalFormatting xmlns:xm="http://schemas.microsoft.com/office/excel/2006/main">
          <x14:cfRule type="expression" priority="95" id="{DD4A7490-95DE-4AA0-B506-378589669DB1}">
            <xm:f>Provozování!$Q$16="Neaktivní"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K75:Q136</xm:sqref>
        </x14:conditionalFormatting>
        <x14:conditionalFormatting xmlns:xm="http://schemas.microsoft.com/office/excel/2006/main">
          <x14:cfRule type="expression" priority="94" id="{F1962674-8C63-4BCE-83FD-B22750396814}">
            <xm:f>Provozování!$V$16="Neaktivní"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K145:Q206</xm:sqref>
        </x14:conditionalFormatting>
        <x14:conditionalFormatting xmlns:xm="http://schemas.microsoft.com/office/excel/2006/main">
          <x14:cfRule type="expression" priority="93" id="{87803CE1-C794-47F3-8AC1-1C49A9B79C0A}">
            <xm:f>Provozování!$AA$16="Neaktivní"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K215:Q276</xm:sqref>
        </x14:conditionalFormatting>
        <x14:conditionalFormatting xmlns:xm="http://schemas.microsoft.com/office/excel/2006/main">
          <x14:cfRule type="expression" priority="92" id="{4FCA35FA-9BB9-412D-AF97-09544A1788BC}">
            <xm:f>Provozování!$AF$16="Neaktivní"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K285:Q346</xm:sqref>
        </x14:conditionalFormatting>
        <x14:conditionalFormatting xmlns:xm="http://schemas.microsoft.com/office/excel/2006/main">
          <x14:cfRule type="expression" priority="91" id="{917E2947-FCA6-42ED-9C41-66141B2D7D69}">
            <xm:f>Provozování!$AK$16="Neaktivní"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K355:Q416</xm:sqref>
        </x14:conditionalFormatting>
        <x14:conditionalFormatting xmlns:xm="http://schemas.microsoft.com/office/excel/2006/main">
          <x14:cfRule type="expression" priority="90" id="{7D39E577-F5F1-4254-87E5-921EC59817C2}">
            <xm:f>Provozování!$AP$16="Neaktivní"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K425:Q486</xm:sqref>
        </x14:conditionalFormatting>
        <x14:conditionalFormatting xmlns:xm="http://schemas.microsoft.com/office/excel/2006/main">
          <x14:cfRule type="expression" priority="89" id="{ABF2F41B-8B77-48AF-8082-576A2D69EA14}">
            <xm:f>Provozování!$AU$16="Neaktivní"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K495:Q556</xm:sqref>
        </x14:conditionalFormatting>
        <x14:conditionalFormatting xmlns:xm="http://schemas.microsoft.com/office/excel/2006/main">
          <x14:cfRule type="expression" priority="88" id="{A1A5B97E-B978-4131-8A4B-DD8D6223F013}">
            <xm:f>Provozování!$AZ$16="Neaktivní"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K565:Q626</xm:sqref>
        </x14:conditionalFormatting>
        <x14:conditionalFormatting xmlns:xm="http://schemas.microsoft.com/office/excel/2006/main">
          <x14:cfRule type="expression" priority="87" id="{35B38720-E399-4502-8E16-F61D92F97786}">
            <xm:f>Provozování!$BE$16="Neaktivní"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K635:Q696</xm:sqref>
        </x14:conditionalFormatting>
        <x14:conditionalFormatting xmlns:xm="http://schemas.microsoft.com/office/excel/2006/main">
          <x14:cfRule type="expression" priority="86" id="{9DD1CE59-7335-4CC5-860B-9D767B287DC3}">
            <xm:f>Provozování!$BJ$16="Neaktivní"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K705:Q766</xm:sqref>
        </x14:conditionalFormatting>
        <x14:conditionalFormatting xmlns:xm="http://schemas.microsoft.com/office/excel/2006/main">
          <x14:cfRule type="expression" priority="73" id="{8EF21205-D6A9-4BD2-9BF8-64F193AC189B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AG42</xm:sqref>
        </x14:conditionalFormatting>
        <x14:conditionalFormatting xmlns:xm="http://schemas.microsoft.com/office/excel/2006/main">
          <x14:cfRule type="expression" priority="72" id="{6309B14D-9DB1-4B70-BD84-599F7AC8299F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AH42</xm:sqref>
        </x14:conditionalFormatting>
        <x14:conditionalFormatting xmlns:xm="http://schemas.microsoft.com/office/excel/2006/main">
          <x14:cfRule type="expression" priority="71" id="{BD7FC447-BFBE-49F0-913A-CAD8644F3404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AE42:AH42</xm:sqref>
        </x14:conditionalFormatting>
        <x14:conditionalFormatting xmlns:xm="http://schemas.microsoft.com/office/excel/2006/main">
          <x14:cfRule type="expression" priority="70" id="{484C01ED-1786-4607-8A62-82EBD562C221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AG113:AG122 AG104:AG111</xm:sqref>
        </x14:conditionalFormatting>
        <x14:conditionalFormatting xmlns:xm="http://schemas.microsoft.com/office/excel/2006/main">
          <x14:cfRule type="expression" priority="69" id="{31C13B49-CF7F-4F4F-BC6B-90A07375B7CD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AH113:AH122 AH104:AH111</xm:sqref>
        </x14:conditionalFormatting>
        <x14:conditionalFormatting xmlns:xm="http://schemas.microsoft.com/office/excel/2006/main">
          <x14:cfRule type="expression" priority="65" id="{3A471613-CE55-4CC5-AE88-2624C6D663C3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AE113:AH122 AE104:AH111</xm:sqref>
        </x14:conditionalFormatting>
        <x14:conditionalFormatting xmlns:xm="http://schemas.microsoft.com/office/excel/2006/main">
          <x14:cfRule type="expression" priority="68" id="{938CE01E-4BC6-4609-9D18-CFFF2A8CBC7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AG112</xm:sqref>
        </x14:conditionalFormatting>
        <x14:conditionalFormatting xmlns:xm="http://schemas.microsoft.com/office/excel/2006/main">
          <x14:cfRule type="expression" priority="67" id="{1D0C2DE6-67F0-44D6-8C6F-6838CF90959F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AH112</xm:sqref>
        </x14:conditionalFormatting>
        <x14:conditionalFormatting xmlns:xm="http://schemas.microsoft.com/office/excel/2006/main">
          <x14:cfRule type="expression" priority="10" id="{9A3BA899-4373-41D2-8F51-3A087B751A74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AE112:AH112</xm:sqref>
        </x14:conditionalFormatting>
        <x14:conditionalFormatting xmlns:xm="http://schemas.microsoft.com/office/excel/2006/main">
          <x14:cfRule type="expression" priority="64" id="{1D4B8F73-664D-4B7E-B56D-74BBA4D8EAF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AG183:AG192 AG174:AG181</xm:sqref>
        </x14:conditionalFormatting>
        <x14:conditionalFormatting xmlns:xm="http://schemas.microsoft.com/office/excel/2006/main">
          <x14:cfRule type="expression" priority="63" id="{5FC02837-CA84-409E-A937-0E0DB31C0AE4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AH183:AH192 AH174:AH181</xm:sqref>
        </x14:conditionalFormatting>
        <x14:conditionalFormatting xmlns:xm="http://schemas.microsoft.com/office/excel/2006/main">
          <x14:cfRule type="expression" priority="59" id="{24F084FE-8DB5-4C24-9931-02D9F279EF0F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AE183:AH192 AE174:AH181</xm:sqref>
        </x14:conditionalFormatting>
        <x14:conditionalFormatting xmlns:xm="http://schemas.microsoft.com/office/excel/2006/main">
          <x14:cfRule type="expression" priority="62" id="{7948D1D9-6659-456C-A271-8A0BEF46D6FC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AG182</xm:sqref>
        </x14:conditionalFormatting>
        <x14:conditionalFormatting xmlns:xm="http://schemas.microsoft.com/office/excel/2006/main">
          <x14:cfRule type="expression" priority="61" id="{489A8CEF-2A44-4948-9844-7B53D343B234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AH182</xm:sqref>
        </x14:conditionalFormatting>
        <x14:conditionalFormatting xmlns:xm="http://schemas.microsoft.com/office/excel/2006/main">
          <x14:cfRule type="expression" priority="9" id="{28338D8D-6886-4F2D-8645-EB0C7B37F5BF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AE182:AH182</xm:sqref>
        </x14:conditionalFormatting>
        <x14:conditionalFormatting xmlns:xm="http://schemas.microsoft.com/office/excel/2006/main">
          <x14:cfRule type="expression" priority="58" id="{BA0FD82E-3B7A-4914-8ADB-8228652D489A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AG253:AG262 AG244:AG251</xm:sqref>
        </x14:conditionalFormatting>
        <x14:conditionalFormatting xmlns:xm="http://schemas.microsoft.com/office/excel/2006/main">
          <x14:cfRule type="expression" priority="57" id="{96AECC83-A718-473F-85B4-92BA2CAD89FB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AH253:AH262 AH244:AH251</xm:sqref>
        </x14:conditionalFormatting>
        <x14:conditionalFormatting xmlns:xm="http://schemas.microsoft.com/office/excel/2006/main">
          <x14:cfRule type="expression" priority="53" id="{F9FC69A8-5B91-4F9F-83F7-34B08FBA4DD6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AE253:AH262 AE244:AH251</xm:sqref>
        </x14:conditionalFormatting>
        <x14:conditionalFormatting xmlns:xm="http://schemas.microsoft.com/office/excel/2006/main">
          <x14:cfRule type="expression" priority="56" id="{F5BC74E6-5102-42F5-8026-BFCAFE6D305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AG252</xm:sqref>
        </x14:conditionalFormatting>
        <x14:conditionalFormatting xmlns:xm="http://schemas.microsoft.com/office/excel/2006/main">
          <x14:cfRule type="expression" priority="55" id="{DE23166F-9404-4B34-8AFA-C51797752E8F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AH252</xm:sqref>
        </x14:conditionalFormatting>
        <x14:conditionalFormatting xmlns:xm="http://schemas.microsoft.com/office/excel/2006/main">
          <x14:cfRule type="expression" priority="8" id="{F4CC0ED6-AB14-405F-89E6-03467107818A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AE252:AH252</xm:sqref>
        </x14:conditionalFormatting>
        <x14:conditionalFormatting xmlns:xm="http://schemas.microsoft.com/office/excel/2006/main">
          <x14:cfRule type="expression" priority="52" id="{05B0E117-A8D5-4EE0-B977-2716DA50F44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AG323:AG332 AG314:AG321</xm:sqref>
        </x14:conditionalFormatting>
        <x14:conditionalFormatting xmlns:xm="http://schemas.microsoft.com/office/excel/2006/main">
          <x14:cfRule type="expression" priority="51" id="{FFD422FA-5C91-4657-90C7-C02BC9B4BD11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AH323:AH332 AH314:AH321</xm:sqref>
        </x14:conditionalFormatting>
        <x14:conditionalFormatting xmlns:xm="http://schemas.microsoft.com/office/excel/2006/main">
          <x14:cfRule type="expression" priority="47" id="{3860D6F9-F3EF-4278-8853-96DDD4A832B4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AE323:AH332 AE314:AH321</xm:sqref>
        </x14:conditionalFormatting>
        <x14:conditionalFormatting xmlns:xm="http://schemas.microsoft.com/office/excel/2006/main">
          <x14:cfRule type="expression" priority="50" id="{D75C0AAA-089E-4C3B-85C7-00C9C6A93BEA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AG322</xm:sqref>
        </x14:conditionalFormatting>
        <x14:conditionalFormatting xmlns:xm="http://schemas.microsoft.com/office/excel/2006/main">
          <x14:cfRule type="expression" priority="49" id="{939502AD-D02F-4DBA-8FAC-CA7AB2A36E7A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AH322</xm:sqref>
        </x14:conditionalFormatting>
        <x14:conditionalFormatting xmlns:xm="http://schemas.microsoft.com/office/excel/2006/main">
          <x14:cfRule type="expression" priority="7" id="{5AE49922-0579-4BE0-A958-E44E6E938919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AE322:AH322</xm:sqref>
        </x14:conditionalFormatting>
        <x14:conditionalFormatting xmlns:xm="http://schemas.microsoft.com/office/excel/2006/main">
          <x14:cfRule type="expression" priority="46" id="{F07446C7-3789-418A-AC4C-B0B1069ADD19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AG393:AG402 AG384:AG391</xm:sqref>
        </x14:conditionalFormatting>
        <x14:conditionalFormatting xmlns:xm="http://schemas.microsoft.com/office/excel/2006/main">
          <x14:cfRule type="expression" priority="45" id="{8F28D184-B10F-45E8-AA9C-ACE7A8812264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AH393:AH402 AH384:AH391</xm:sqref>
        </x14:conditionalFormatting>
        <x14:conditionalFormatting xmlns:xm="http://schemas.microsoft.com/office/excel/2006/main">
          <x14:cfRule type="expression" priority="41" id="{13DA6E88-A38E-4C0B-A0ED-CE73055D6B70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AE393:AH402 AE384:AH391</xm:sqref>
        </x14:conditionalFormatting>
        <x14:conditionalFormatting xmlns:xm="http://schemas.microsoft.com/office/excel/2006/main">
          <x14:cfRule type="expression" priority="44" id="{F28EDF4A-966A-42D9-A93E-9F6609857827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AG392</xm:sqref>
        </x14:conditionalFormatting>
        <x14:conditionalFormatting xmlns:xm="http://schemas.microsoft.com/office/excel/2006/main">
          <x14:cfRule type="expression" priority="43" id="{9E6FC065-5DAB-4DCD-B90C-0E0858F07A4C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AH392</xm:sqref>
        </x14:conditionalFormatting>
        <x14:conditionalFormatting xmlns:xm="http://schemas.microsoft.com/office/excel/2006/main">
          <x14:cfRule type="expression" priority="6" id="{A6D78245-53C3-4BC2-B1FA-A2E0D6AF0A7C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AE392:AH392</xm:sqref>
        </x14:conditionalFormatting>
        <x14:conditionalFormatting xmlns:xm="http://schemas.microsoft.com/office/excel/2006/main">
          <x14:cfRule type="expression" priority="40" id="{71A4F6F7-8AF1-47F6-B872-BE696759623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AG463:AG472 AG454:AG461</xm:sqref>
        </x14:conditionalFormatting>
        <x14:conditionalFormatting xmlns:xm="http://schemas.microsoft.com/office/excel/2006/main">
          <x14:cfRule type="expression" priority="39" id="{D93D9D0A-4D6B-42DC-ADC8-E3D4BB4B5671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AH463:AH472 AH454:AH461</xm:sqref>
        </x14:conditionalFormatting>
        <x14:conditionalFormatting xmlns:xm="http://schemas.microsoft.com/office/excel/2006/main">
          <x14:cfRule type="expression" priority="35" id="{614BA5A4-1EFE-4FFE-B9DB-7521130128F9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AE463:AH472 AE454:AH461</xm:sqref>
        </x14:conditionalFormatting>
        <x14:conditionalFormatting xmlns:xm="http://schemas.microsoft.com/office/excel/2006/main">
          <x14:cfRule type="expression" priority="38" id="{60E0A45F-9618-47A6-A907-DBB4746BFAD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AG462</xm:sqref>
        </x14:conditionalFormatting>
        <x14:conditionalFormatting xmlns:xm="http://schemas.microsoft.com/office/excel/2006/main">
          <x14:cfRule type="expression" priority="37" id="{23149942-7F1E-496C-92FE-66EE4BF0BB9C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AH462</xm:sqref>
        </x14:conditionalFormatting>
        <x14:conditionalFormatting xmlns:xm="http://schemas.microsoft.com/office/excel/2006/main">
          <x14:cfRule type="expression" priority="5" id="{471A4F49-CB20-4B9A-AD55-D08421B46DC3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AE462:AH462</xm:sqref>
        </x14:conditionalFormatting>
        <x14:conditionalFormatting xmlns:xm="http://schemas.microsoft.com/office/excel/2006/main">
          <x14:cfRule type="expression" priority="34" id="{1DF8CD17-BB64-4F4D-9105-7217DA61F342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AG533:AG542 AG524:AG531</xm:sqref>
        </x14:conditionalFormatting>
        <x14:conditionalFormatting xmlns:xm="http://schemas.microsoft.com/office/excel/2006/main">
          <x14:cfRule type="expression" priority="33" id="{963CC207-815D-4AD2-81FB-D2BA83F6F282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AH533:AH542 AH524:AH531</xm:sqref>
        </x14:conditionalFormatting>
        <x14:conditionalFormatting xmlns:xm="http://schemas.microsoft.com/office/excel/2006/main">
          <x14:cfRule type="expression" priority="29" id="{B893107B-1447-4AC3-A096-A439DB5A1E07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AE533:AH542 AE524:AH531</xm:sqref>
        </x14:conditionalFormatting>
        <x14:conditionalFormatting xmlns:xm="http://schemas.microsoft.com/office/excel/2006/main">
          <x14:cfRule type="expression" priority="32" id="{D6946350-9EC0-4D24-AF5F-58AA8418B631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AG532</xm:sqref>
        </x14:conditionalFormatting>
        <x14:conditionalFormatting xmlns:xm="http://schemas.microsoft.com/office/excel/2006/main">
          <x14:cfRule type="expression" priority="31" id="{B9777C73-273B-4784-8A7A-50C374E9801E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AH532</xm:sqref>
        </x14:conditionalFormatting>
        <x14:conditionalFormatting xmlns:xm="http://schemas.microsoft.com/office/excel/2006/main">
          <x14:cfRule type="expression" priority="4" id="{294E1781-C48C-4D73-936A-88100C8F375F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AE532:AH532</xm:sqref>
        </x14:conditionalFormatting>
        <x14:conditionalFormatting xmlns:xm="http://schemas.microsoft.com/office/excel/2006/main">
          <x14:cfRule type="expression" priority="28" id="{6B89FDFF-593E-4C34-A3B3-1CC308567A76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AG603:AG612 AG594:AG601</xm:sqref>
        </x14:conditionalFormatting>
        <x14:conditionalFormatting xmlns:xm="http://schemas.microsoft.com/office/excel/2006/main">
          <x14:cfRule type="expression" priority="27" id="{C96E44DF-00A5-4988-89C5-F841889D0D39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AH603:AH612 AH594:AH601</xm:sqref>
        </x14:conditionalFormatting>
        <x14:conditionalFormatting xmlns:xm="http://schemas.microsoft.com/office/excel/2006/main">
          <x14:cfRule type="expression" priority="23" id="{D1B03976-DF5F-4BB4-966D-C24D0A2ADB53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AE603:AH612 AE594:AH601</xm:sqref>
        </x14:conditionalFormatting>
        <x14:conditionalFormatting xmlns:xm="http://schemas.microsoft.com/office/excel/2006/main">
          <x14:cfRule type="expression" priority="26" id="{50FB43AF-E5EA-4384-832A-1547D7666AF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AG602</xm:sqref>
        </x14:conditionalFormatting>
        <x14:conditionalFormatting xmlns:xm="http://schemas.microsoft.com/office/excel/2006/main">
          <x14:cfRule type="expression" priority="25" id="{1163E85F-5D19-4EF0-A6BB-8FC77C619C35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AH602</xm:sqref>
        </x14:conditionalFormatting>
        <x14:conditionalFormatting xmlns:xm="http://schemas.microsoft.com/office/excel/2006/main">
          <x14:cfRule type="expression" priority="3" id="{488DF636-0D56-41AD-B4C4-58A9EE9F9CC8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AE602:AH602</xm:sqref>
        </x14:conditionalFormatting>
        <x14:conditionalFormatting xmlns:xm="http://schemas.microsoft.com/office/excel/2006/main">
          <x14:cfRule type="expression" priority="22" id="{E9A18B5D-71E0-4D58-83F6-44B1AC9144DF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AG673:AG682 AG664:AG671</xm:sqref>
        </x14:conditionalFormatting>
        <x14:conditionalFormatting xmlns:xm="http://schemas.microsoft.com/office/excel/2006/main">
          <x14:cfRule type="expression" priority="21" id="{928A05FC-C227-4080-9501-7BD20DB787D1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AH673:AH682 AH664:AH671</xm:sqref>
        </x14:conditionalFormatting>
        <x14:conditionalFormatting xmlns:xm="http://schemas.microsoft.com/office/excel/2006/main">
          <x14:cfRule type="expression" priority="17" id="{00597BB4-ACA6-482F-9971-58E47CBD3CBF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AE673:AH682 AE664:AH671</xm:sqref>
        </x14:conditionalFormatting>
        <x14:conditionalFormatting xmlns:xm="http://schemas.microsoft.com/office/excel/2006/main">
          <x14:cfRule type="expression" priority="20" id="{AA217A70-902A-4B5B-8E51-64F5D25260F3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AG672</xm:sqref>
        </x14:conditionalFormatting>
        <x14:conditionalFormatting xmlns:xm="http://schemas.microsoft.com/office/excel/2006/main">
          <x14:cfRule type="expression" priority="19" id="{E71AA0A7-5CCF-4571-BCDF-283502CF1CFB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AH672</xm:sqref>
        </x14:conditionalFormatting>
        <x14:conditionalFormatting xmlns:xm="http://schemas.microsoft.com/office/excel/2006/main">
          <x14:cfRule type="expression" priority="2" id="{8E29F1D5-169F-4A4A-BB97-E7FF95D6F463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AE672:AH672</xm:sqref>
        </x14:conditionalFormatting>
        <x14:conditionalFormatting xmlns:xm="http://schemas.microsoft.com/office/excel/2006/main">
          <x14:cfRule type="expression" priority="16" id="{2AA0DA15-B224-49FC-8691-EC33F2FC8807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AG743:AG752 AG734:AG741</xm:sqref>
        </x14:conditionalFormatting>
        <x14:conditionalFormatting xmlns:xm="http://schemas.microsoft.com/office/excel/2006/main">
          <x14:cfRule type="expression" priority="15" id="{98D3D7C1-680B-4D2D-BA58-4448BCF14A38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AH743:AH752 AH734:AH741</xm:sqref>
        </x14:conditionalFormatting>
        <x14:conditionalFormatting xmlns:xm="http://schemas.microsoft.com/office/excel/2006/main">
          <x14:cfRule type="expression" priority="11" id="{15D649CF-3798-4630-A2D2-DFCB6B0538E1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AE743:AH752 AE734:AH741</xm:sqref>
        </x14:conditionalFormatting>
        <x14:conditionalFormatting xmlns:xm="http://schemas.microsoft.com/office/excel/2006/main">
          <x14:cfRule type="expression" priority="14" id="{A1AF83E7-DA7B-4A18-AFA8-CBE6CEE98BD5}">
            <xm:f>Postup!$K$21="2"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AG742</xm:sqref>
        </x14:conditionalFormatting>
        <x14:conditionalFormatting xmlns:xm="http://schemas.microsoft.com/office/excel/2006/main">
          <x14:cfRule type="expression" priority="13" id="{00B20FA1-352E-41E2-988E-C408D7BF9300}">
            <xm:f>Postup!$K$21="1"</xm:f>
            <x14:dxf>
              <fill>
                <patternFill>
                  <bgColor theme="0" tint="-0.24994659260841701"/>
                </patternFill>
              </fill>
            </x14:dxf>
          </x14:cfRule>
          <xm:sqref>AH742</xm:sqref>
        </x14:conditionalFormatting>
        <x14:conditionalFormatting xmlns:xm="http://schemas.microsoft.com/office/excel/2006/main">
          <x14:cfRule type="expression" priority="1" id="{34727FDA-846E-429F-9296-1393017061BE}">
            <xm:f>OR(Postup!$K$18="0",Postup!$K$18="0")</xm:f>
            <x14:dxf>
              <fill>
                <patternFill>
                  <bgColor theme="0" tint="-0.24994659260841701"/>
                </patternFill>
              </fill>
            </x14:dxf>
          </x14:cfRule>
          <xm:sqref>AE742:AH742</xm:sqref>
        </x14:conditionalFormatting>
        <x14:conditionalFormatting xmlns:xm="http://schemas.microsoft.com/office/excel/2006/main">
          <x14:cfRule type="expression" priority="66" id="{C188E58E-C056-4D7E-AE64-AAE33F90D9D8}">
            <xm:f>$D$74&gt;Postup!$J$25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AE104:AH122</xm:sqref>
        </x14:conditionalFormatting>
        <x14:conditionalFormatting xmlns:xm="http://schemas.microsoft.com/office/excel/2006/main">
          <x14:cfRule type="expression" priority="60" id="{1396DAEE-E475-4CD2-B653-D7C80B5A313C}">
            <xm:f>$D$144&gt;Postup!$J$25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AE174:AH192</xm:sqref>
        </x14:conditionalFormatting>
        <x14:conditionalFormatting xmlns:xm="http://schemas.microsoft.com/office/excel/2006/main">
          <x14:cfRule type="expression" priority="54" id="{8A6C1336-CDE1-43C7-BC59-B4FCAFF8C6E4}">
            <xm:f>$D$214&gt;Postup!$J$25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AE244:AH262</xm:sqref>
        </x14:conditionalFormatting>
        <x14:conditionalFormatting xmlns:xm="http://schemas.microsoft.com/office/excel/2006/main">
          <x14:cfRule type="expression" priority="48" id="{DABBA14B-8129-4BB6-AB42-5016DE1B10C1}">
            <xm:f>$D$284&gt;Postup!$J$25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AE314:AH332</xm:sqref>
        </x14:conditionalFormatting>
        <x14:conditionalFormatting xmlns:xm="http://schemas.microsoft.com/office/excel/2006/main">
          <x14:cfRule type="expression" priority="42" id="{3FBF2901-CE33-47AA-AFB2-DC982F975F9D}">
            <xm:f>$D$354&gt;Postup!$J$25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AE384:AH402</xm:sqref>
        </x14:conditionalFormatting>
        <x14:conditionalFormatting xmlns:xm="http://schemas.microsoft.com/office/excel/2006/main">
          <x14:cfRule type="expression" priority="36" id="{71C45EAD-C396-4AE3-A2B3-740D828BCC09}">
            <xm:f>$D$424&gt;Postup!$J$25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AE454:AH472</xm:sqref>
        </x14:conditionalFormatting>
        <x14:conditionalFormatting xmlns:xm="http://schemas.microsoft.com/office/excel/2006/main">
          <x14:cfRule type="expression" priority="30" id="{A88B6ED2-B3CE-4670-B855-4B8F205E40FF}">
            <xm:f>$D$494&gt;Postup!$J$25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AE524:AH542</xm:sqref>
        </x14:conditionalFormatting>
        <x14:conditionalFormatting xmlns:xm="http://schemas.microsoft.com/office/excel/2006/main">
          <x14:cfRule type="expression" priority="24" id="{05892491-1E30-49CF-96CB-1C33B1426471}">
            <xm:f>$D$564&gt;Postup!$J$25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AE594:AH612</xm:sqref>
        </x14:conditionalFormatting>
        <x14:conditionalFormatting xmlns:xm="http://schemas.microsoft.com/office/excel/2006/main">
          <x14:cfRule type="expression" priority="18" id="{45C55EE1-F569-49AF-BC8E-29ACC844795D}">
            <xm:f>$D$634&gt;Postup!$J$25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AE664:AH682</xm:sqref>
        </x14:conditionalFormatting>
        <x14:conditionalFormatting xmlns:xm="http://schemas.microsoft.com/office/excel/2006/main">
          <x14:cfRule type="expression" priority="12" id="{2236682F-8659-48D2-AAC7-1144F7A389E3}">
            <xm:f>$D$704&gt;Postup!$J$25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AE734:AH752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0">
        <x14:dataValidation type="decimal" operator="lessThan" allowBlank="1" showInputMessage="1" showErrorMessage="1" error="Není možné zadat hodnotu vyšší než je Cenový strop pro tuto položku." xr:uid="{00000000-0002-0000-0400-000002000000}">
          <x14:formula1>
            <xm:f>Výpočty!AS63</xm:f>
          </x14:formula1>
          <xm:sqref>O656:O657 O660 O665:O670 O653:O654 O650:O651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3000000}">
          <x14:formula1>
            <xm:f>Výpočty!AT63</xm:f>
          </x14:formula1>
          <xm:sqref>Q660 Q653:Q654 Q656:Q657 Q665:Q670 Q650:Q651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4000000}">
          <x14:formula1>
            <xm:f>Výpočty!AU63</xm:f>
          </x14:formula1>
          <xm:sqref>F726:F727 F730 F735:F740 F723:F724 F720:F721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5000000}">
          <x14:formula1>
            <xm:f>Výpočty!AV63</xm:f>
          </x14:formula1>
          <xm:sqref>H726:H727 H730 H735:H740 H723:H724 H720:H721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6000000}">
          <x14:formula1>
            <xm:f>Výpočty!AW63</xm:f>
          </x14:formula1>
          <xm:sqref>O726:O727 O730 O735:O740 O723:O724 O720:O721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7000000}">
          <x14:formula1>
            <xm:f>Výpočty!AX63</xm:f>
          </x14:formula1>
          <xm:sqref>Q730 Q723:Q724 Q726:Q727 Q735:Q740 Q720:Q721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8000000}">
          <x14:formula1>
            <xm:f>Výpočty!AP66</xm:f>
          </x14:formula1>
          <xm:sqref>Q580:Q581 Q583:Q584 Q586:Q587 Q595:Q596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9000000}">
          <x14:formula1>
            <xm:f>Výpočty!Y63</xm:f>
          </x14:formula1>
          <xm:sqref>O310 O303:O304 O306:O307 O315:O320 O300:O301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A000000}">
          <x14:formula1>
            <xm:f>Výpočty!Z63</xm:f>
          </x14:formula1>
          <xm:sqref>Q310 Q303:Q304 Q306:Q307 Q315:Q320 Q300:Q301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B000000}">
          <x14:formula1>
            <xm:f>Výpočty!AA63</xm:f>
          </x14:formula1>
          <xm:sqref>F380 F373:F374 F376:F377 F385:F390 F370:F371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C000000}">
          <x14:formula1>
            <xm:f>Výpočty!AB63</xm:f>
          </x14:formula1>
          <xm:sqref>H380 H373:H374 H376:H377 H385:H390 H370:H371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D000000}">
          <x14:formula1>
            <xm:f>Výpočty!AC63</xm:f>
          </x14:formula1>
          <xm:sqref>O380 O373:O374 O376:O377 O385:O390 O370:O371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E000000}">
          <x14:formula1>
            <xm:f>Výpočty!AD63</xm:f>
          </x14:formula1>
          <xm:sqref>Q380 Q373:Q374 Q376:Q377 Q385:Q390 Q370:Q371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0F000000}">
          <x14:formula1>
            <xm:f>Výpočty!AE63</xm:f>
          </x14:formula1>
          <xm:sqref>F446:F447 F450 F455:F460 F443:F444 F440:F441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0000000}">
          <x14:formula1>
            <xm:f>Výpočty!AF63</xm:f>
          </x14:formula1>
          <xm:sqref>H446:H447 H450 H455:H460 H443:H444 H440:H441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1000000}">
          <x14:formula1>
            <xm:f>Výpočty!AG63</xm:f>
          </x14:formula1>
          <xm:sqref>O446:O447 O450 O455:O460 O443:O444 O440:O441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2000000}">
          <x14:formula1>
            <xm:f>Výpočty!AH63</xm:f>
          </x14:formula1>
          <xm:sqref>Q450 Q443:Q444 Q446:Q447 Q455:Q460 Q440:Q441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3000000}">
          <x14:formula1>
            <xm:f>Výpočty!AI63</xm:f>
          </x14:formula1>
          <xm:sqref>F520 F513:F514 F516:F517 F525:F530 F510:F511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4000000}">
          <x14:formula1>
            <xm:f>Výpočty!AJ63</xm:f>
          </x14:formula1>
          <xm:sqref>H516:H517 H520 H525:H530 H513:H514 H510:H511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5000000}">
          <x14:formula1>
            <xm:f>Výpočty!AK63</xm:f>
          </x14:formula1>
          <xm:sqref>O516:O517 O520 O525:O530 O513:O514 O510:O511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6000000}">
          <x14:formula1>
            <xm:f>Výpočty!AL63</xm:f>
          </x14:formula1>
          <xm:sqref>Q520 Q513:Q514 Q516:Q517 Q525:Q530 Q510:Q511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7000000}">
          <x14:formula1>
            <xm:f>Výpočty!AM63</xm:f>
          </x14:formula1>
          <xm:sqref>F586:F587 F590 F595:F600 F583:F584 F580:F581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8000000}">
          <x14:formula1>
            <xm:f>Výpočty!AN63</xm:f>
          </x14:formula1>
          <xm:sqref>H586:H587 H590 H595:H600 H583:H584 H580:H581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9000000}">
          <x14:formula1>
            <xm:f>Výpočty!AO63</xm:f>
          </x14:formula1>
          <xm:sqref>O586:O587 O590 O595:O600 O583:O584 O580:O581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A000000}">
          <x14:formula1>
            <xm:f>Výpočty!AQ63</xm:f>
          </x14:formula1>
          <xm:sqref>F656:F657 F660 F665:F670 F653:F654 F650:F651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B000000}">
          <x14:formula1>
            <xm:f>Výpočty!AR63</xm:f>
          </x14:formula1>
          <xm:sqref>H656:H657 H660 H665:H670 H653:H654 H650:H651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C000000}">
          <x14:formula1>
            <xm:f>Výpočty!AP73</xm:f>
          </x14:formula1>
          <xm:sqref>Q597:Q600 Q590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D000000}">
          <x14:formula1>
            <xm:f>Výpočty!J63</xm:f>
          </x14:formula1>
          <xm:sqref>Q23:Q24 Q26:Q27 Q35:Q40 Q30 Q20:Q21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E000000}">
          <x14:formula1>
            <xm:f>Výpočty!I63</xm:f>
          </x14:formula1>
          <xm:sqref>O35:O40 O23:O24 O26:O27 O30 O20:O21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1F000000}">
          <x14:formula1>
            <xm:f>Výpočty!K63</xm:f>
          </x14:formula1>
          <xm:sqref>F105:F106 F90:F91 F93:F94 F96:F97 F100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0000000}">
          <x14:formula1>
            <xm:f>Výpočty!L63</xm:f>
          </x14:formula1>
          <xm:sqref>H105:H106 H90:H91 H93:H94 H96:H97 H109:H110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1000000}">
          <x14:formula1>
            <xm:f>Výpočty!O63</xm:f>
          </x14:formula1>
          <xm:sqref>F170 F163:F164 F166:F167 F175:F180 F160:F161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2000000}">
          <x14:formula1>
            <xm:f>Výpočty!P63</xm:f>
          </x14:formula1>
          <xm:sqref>H170 H163:H164 H166:H167 H175:H180 H160:H161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3000000}">
          <x14:formula1>
            <xm:f>Výpočty!Q63</xm:f>
          </x14:formula1>
          <xm:sqref>O170 O163:O164 O166:O167 O175:O180 O160:O161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4000000}">
          <x14:formula1>
            <xm:f>Výpočty!R63</xm:f>
          </x14:formula1>
          <xm:sqref>Q170 Q163:Q164 Q166:Q167 Q175:Q180 Q160:Q161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5000000}">
          <x14:formula1>
            <xm:f>Výpočty!S63</xm:f>
          </x14:formula1>
          <xm:sqref>F249:F250 F233:F234 F236:F237 F245:F246 F230:F231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6000000}">
          <x14:formula1>
            <xm:f>Výpočty!T63</xm:f>
          </x14:formula1>
          <xm:sqref>H240 H233:H234 H236:H237 H245:H250 H230:H231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7000000}">
          <x14:formula1>
            <xm:f>Výpočty!U63</xm:f>
          </x14:formula1>
          <xm:sqref>O240 O233:O234 O236:O237 O245:O250 O230:O231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8000000}">
          <x14:formula1>
            <xm:f>Výpočty!V63</xm:f>
          </x14:formula1>
          <xm:sqref>Q240 Q233:Q234 Q236:Q237 Q245:Q250 Q230:Q231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9000000}">
          <x14:formula1>
            <xm:f>Výpočty!W63</xm:f>
          </x14:formula1>
          <xm:sqref>F306:F307 F310 F315:F320 F303:F304 F300:F301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A000000}">
          <x14:formula1>
            <xm:f>Výpočty!X63</xm:f>
          </x14:formula1>
          <xm:sqref>H310 H303:H304 H306:H307 H315:H320 H300:H301</xm:sqref>
        </x14:dataValidation>
        <x14:dataValidation type="decimal" operator="lessThan" allowBlank="1" showInputMessage="1" showErrorMessage="1" error="Není možné zadat hodnotu vyšší než je Cenový strop pro tuto položku._x000a_" xr:uid="{00000000-0002-0000-0400-00002B000000}">
          <x14:formula1>
            <xm:f>Výpočty!M64</xm:f>
          </x14:formula1>
          <xm:sqref>O100 O91 O93 O96 O107:O110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C000000}">
          <x14:formula1>
            <xm:f>Výpočty!N63</xm:f>
          </x14:formula1>
          <xm:sqref>Q100 Q90:Q91 Q93:Q94 Q96:Q97 Q105:Q110</xm:sqref>
        </x14:dataValidation>
        <x14:dataValidation type="decimal" operator="lessThan" allowBlank="1" showInputMessage="1" showErrorMessage="1" error="Není možné zadat hodnotu vyšší než je Cenový strop pro tuto položku._x000a_" xr:uid="{00000000-0002-0000-0400-00002D000000}">
          <x14:formula1>
            <xm:f>Výpočty!S73</xm:f>
          </x14:formula1>
          <xm:sqref>F247:F248 F240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E000000}">
          <x14:formula1>
            <xm:f>Výpočty!M63</xm:f>
          </x14:formula1>
          <xm:sqref>O105:O106 O94 O97 O90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2F000000}">
          <x14:formula1>
            <xm:f>Výpočty!G63</xm:f>
          </x14:formula1>
          <xm:sqref>F20:F21 F23:F24 F26:F27 F35:F36 F39:F40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30000000}">
          <x14:formula1>
            <xm:f>Výpočty!H63</xm:f>
          </x14:formula1>
          <xm:sqref>H30 H20:H21 H23:H24 H26:H27 H35:H40</xm:sqref>
        </x14:dataValidation>
        <x14:dataValidation type="decimal" operator="lessThan" allowBlank="1" showInputMessage="1" showErrorMessage="1" error="Není možné zadat hodnotu vyšší než je Cenový strop pro tuto položku._x000a__x000a_" xr:uid="{00000000-0002-0000-0400-000031000000}">
          <x14:formula1>
            <xm:f>Výpočty!G73</xm:f>
          </x14:formula1>
          <xm:sqref>F30 F37:F38</xm:sqref>
        </x14:dataValidation>
        <x14:dataValidation type="decimal" operator="lessThan" allowBlank="1" showInputMessage="1" showErrorMessage="1" error="Není možné zadat hodnotu vyšší než je Cenový strop pro tuto položku." xr:uid="{00000000-0002-0000-0400-000034000000}">
          <x14:formula1>
            <xm:f>Výpočty!K81</xm:f>
          </x14:formula1>
          <xm:sqref>F109:F110</xm:sqref>
        </x14:dataValidation>
        <x14:dataValidation type="decimal" operator="lessThan" allowBlank="1" showInputMessage="1" showErrorMessage="1" error="Není možné zadat hodnotu vyšší než je Cenový strop pro tuto položku._x000a_" xr:uid="{00000000-0002-0000-0400-00005D000000}">
          <x14:formula1>
            <xm:f>Výpočty!L73</xm:f>
          </x14:formula1>
          <xm:sqref>H100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AP871"/>
  <sheetViews>
    <sheetView zoomScale="85" zoomScaleNormal="85" workbookViewId="0">
      <selection activeCell="Q25" sqref="Q25"/>
    </sheetView>
  </sheetViews>
  <sheetFormatPr defaultRowHeight="15" x14ac:dyDescent="0.25"/>
  <cols>
    <col min="1" max="1" width="2.7109375" customWidth="1"/>
    <col min="2" max="2" width="5.140625" customWidth="1"/>
    <col min="3" max="3" width="37.85546875" customWidth="1"/>
    <col min="5" max="5" width="9.140625" customWidth="1"/>
    <col min="9" max="10" width="2.7109375" customWidth="1"/>
    <col min="11" max="11" width="5.140625" customWidth="1"/>
    <col min="12" max="12" width="37.85546875" customWidth="1"/>
    <col min="18" max="18" width="2.5703125" customWidth="1"/>
    <col min="19" max="19" width="2.7109375" customWidth="1"/>
    <col min="20" max="20" width="5.7109375" customWidth="1"/>
    <col min="21" max="21" width="37.85546875" customWidth="1"/>
    <col min="29" max="29" width="2.7109375" customWidth="1"/>
    <col min="30" max="32" width="9.140625" customWidth="1"/>
    <col min="37" max="37" width="9.140625" customWidth="1"/>
  </cols>
  <sheetData>
    <row r="1" spans="2:34" x14ac:dyDescent="0.25">
      <c r="B1" s="31"/>
      <c r="AC1" s="183"/>
      <c r="AD1" s="183"/>
      <c r="AE1" s="183"/>
      <c r="AF1" s="183"/>
      <c r="AG1" s="183"/>
      <c r="AH1" s="183"/>
    </row>
    <row r="2" spans="2:34" x14ac:dyDescent="0.25">
      <c r="B2" s="726" t="s">
        <v>393</v>
      </c>
      <c r="C2" s="727"/>
      <c r="D2" s="727"/>
      <c r="E2" s="727"/>
      <c r="F2" s="727"/>
      <c r="G2" s="727"/>
      <c r="H2" s="727"/>
      <c r="K2" s="726" t="s">
        <v>394</v>
      </c>
      <c r="L2" s="727"/>
      <c r="M2" s="727"/>
      <c r="N2" s="727"/>
      <c r="O2" s="727"/>
      <c r="P2" s="727"/>
      <c r="Q2" s="727"/>
      <c r="T2" s="726" t="s">
        <v>210</v>
      </c>
      <c r="U2" s="727"/>
      <c r="V2" s="727"/>
      <c r="W2" s="727"/>
      <c r="X2" s="727"/>
      <c r="Y2" s="727"/>
      <c r="Z2" s="727"/>
      <c r="AA2" s="727"/>
      <c r="AB2" s="727"/>
      <c r="AC2" s="183"/>
      <c r="AD2" s="183"/>
      <c r="AE2" s="183"/>
      <c r="AF2" s="183"/>
      <c r="AG2" s="446"/>
      <c r="AH2" s="446"/>
    </row>
    <row r="3" spans="2:34" x14ac:dyDescent="0.25">
      <c r="C3" s="362"/>
      <c r="E3" s="25"/>
      <c r="F3" s="25"/>
      <c r="L3" s="25"/>
      <c r="N3" s="25"/>
      <c r="T3" s="950" t="s">
        <v>395</v>
      </c>
      <c r="U3" s="950"/>
      <c r="V3" s="950"/>
      <c r="W3" s="950"/>
      <c r="X3" s="950"/>
      <c r="Y3" s="950"/>
      <c r="Z3" s="950"/>
      <c r="AA3" s="950"/>
      <c r="AB3" s="950"/>
      <c r="AC3" s="183"/>
      <c r="AD3" s="183"/>
      <c r="AE3" s="183"/>
      <c r="AF3" s="183"/>
      <c r="AG3" s="183"/>
      <c r="AH3" s="183"/>
    </row>
    <row r="4" spans="2:34" x14ac:dyDescent="0.25">
      <c r="C4" s="362" t="s">
        <v>119</v>
      </c>
      <c r="D4" s="364">
        <f>'Kalkulace a Porovnání'!D4</f>
        <v>2020</v>
      </c>
      <c r="E4" s="25"/>
      <c r="F4" s="362" t="s">
        <v>278</v>
      </c>
      <c r="G4" s="365">
        <f>'Kalkulace a Porovnání'!G4</f>
        <v>43831</v>
      </c>
      <c r="H4" s="365" t="str">
        <f>'Kalkulace a Porovnání'!H4</f>
        <v>- 31.12.2020</v>
      </c>
      <c r="L4" s="362" t="s">
        <v>119</v>
      </c>
      <c r="M4" s="364">
        <f>'Kalkulace a Porovnání'!M4</f>
        <v>2020</v>
      </c>
      <c r="O4" s="362" t="s">
        <v>278</v>
      </c>
      <c r="P4" s="365" t="str">
        <f>'Kalkulace a Porovnání'!P4</f>
        <v>-</v>
      </c>
      <c r="Q4" s="365" t="str">
        <f>'Kalkulace a Porovnání'!Q4</f>
        <v xml:space="preserve"> </v>
      </c>
      <c r="T4" s="441"/>
      <c r="U4" s="441"/>
      <c r="V4" s="451" t="s">
        <v>195</v>
      </c>
      <c r="W4" s="364">
        <f>'Kalkulace a Porovnání'!W4</f>
        <v>2020</v>
      </c>
      <c r="Z4" s="362" t="s">
        <v>278</v>
      </c>
      <c r="AA4" s="365">
        <f>'Kalkulace a Porovnání'!AA4</f>
        <v>43831</v>
      </c>
      <c r="AB4" s="365" t="str">
        <f>'Kalkulace a Porovnání'!AB4</f>
        <v>- 31.12.2020</v>
      </c>
      <c r="AC4" s="183"/>
      <c r="AD4" s="183"/>
      <c r="AE4" s="183"/>
      <c r="AF4" s="183"/>
      <c r="AG4" s="183"/>
      <c r="AH4" s="183"/>
    </row>
    <row r="5" spans="2:34" x14ac:dyDescent="0.25">
      <c r="B5" s="13" t="s">
        <v>74</v>
      </c>
      <c r="C5" s="13" t="s">
        <v>105</v>
      </c>
      <c r="D5" s="941" t="str">
        <f>'Kalkulace a Porovnání'!D5</f>
        <v/>
      </c>
      <c r="E5" s="942"/>
      <c r="F5" s="942"/>
      <c r="G5" s="942"/>
      <c r="H5" s="943"/>
      <c r="K5" s="13" t="s">
        <v>74</v>
      </c>
      <c r="L5" s="13" t="s">
        <v>105</v>
      </c>
      <c r="M5" s="941" t="str">
        <f>'Kalkulace a Porovnání'!M5</f>
        <v/>
      </c>
      <c r="N5" s="942"/>
      <c r="O5" s="942"/>
      <c r="P5" s="942"/>
      <c r="Q5" s="943"/>
      <c r="T5" s="13" t="s">
        <v>74</v>
      </c>
      <c r="U5" s="13" t="s">
        <v>105</v>
      </c>
      <c r="V5" s="949" t="str">
        <f>'Kalkulace a Porovnání'!V5</f>
        <v/>
      </c>
      <c r="W5" s="738"/>
      <c r="X5" s="738"/>
      <c r="Y5" s="738"/>
      <c r="Z5" s="738"/>
      <c r="AA5" s="738"/>
      <c r="AB5" s="738"/>
      <c r="AC5" s="183"/>
      <c r="AD5" s="183"/>
    </row>
    <row r="6" spans="2:34" x14ac:dyDescent="0.25">
      <c r="B6" s="13" t="s">
        <v>100</v>
      </c>
      <c r="C6" s="13" t="s">
        <v>106</v>
      </c>
      <c r="D6" s="941" t="str">
        <f>'Kalkulace a Porovnání'!D6</f>
        <v/>
      </c>
      <c r="E6" s="942"/>
      <c r="F6" s="942"/>
      <c r="G6" s="942"/>
      <c r="H6" s="943"/>
      <c r="K6" s="13" t="s">
        <v>100</v>
      </c>
      <c r="L6" s="13" t="s">
        <v>106</v>
      </c>
      <c r="M6" s="941" t="str">
        <f>'Kalkulace a Porovnání'!M6</f>
        <v/>
      </c>
      <c r="N6" s="942"/>
      <c r="O6" s="942"/>
      <c r="P6" s="942"/>
      <c r="Q6" s="943"/>
      <c r="T6" s="13" t="s">
        <v>100</v>
      </c>
      <c r="U6" s="13" t="s">
        <v>106</v>
      </c>
      <c r="V6" s="949" t="str">
        <f>'Kalkulace a Porovnání'!V6</f>
        <v/>
      </c>
      <c r="W6" s="738"/>
      <c r="X6" s="738"/>
      <c r="Y6" s="738"/>
      <c r="Z6" s="738"/>
      <c r="AA6" s="738"/>
      <c r="AB6" s="738"/>
      <c r="AC6" s="183"/>
      <c r="AD6" s="183"/>
    </row>
    <row r="7" spans="2:34" x14ac:dyDescent="0.25">
      <c r="B7" s="13" t="s">
        <v>101</v>
      </c>
      <c r="C7" s="13" t="s">
        <v>107</v>
      </c>
      <c r="D7" s="941" t="str">
        <f>'Kalkulace a Porovnání'!D7</f>
        <v xml:space="preserve">Město Kraslice, IČ </v>
      </c>
      <c r="E7" s="942"/>
      <c r="F7" s="942"/>
      <c r="G7" s="942"/>
      <c r="H7" s="943"/>
      <c r="K7" s="13" t="s">
        <v>101</v>
      </c>
      <c r="L7" s="13" t="s">
        <v>107</v>
      </c>
      <c r="M7" s="941" t="str">
        <f>'Kalkulace a Porovnání'!M7</f>
        <v xml:space="preserve">Město Kraslice, IČ </v>
      </c>
      <c r="N7" s="942"/>
      <c r="O7" s="942"/>
      <c r="P7" s="942"/>
      <c r="Q7" s="943"/>
      <c r="T7" s="13" t="s">
        <v>101</v>
      </c>
      <c r="U7" s="13" t="s">
        <v>107</v>
      </c>
      <c r="V7" s="949" t="str">
        <f>'Kalkulace a Porovnání'!V7</f>
        <v xml:space="preserve">Město Kraslice, IČ </v>
      </c>
      <c r="W7" s="738"/>
      <c r="X7" s="738"/>
      <c r="Y7" s="738"/>
      <c r="Z7" s="738"/>
      <c r="AA7" s="738"/>
      <c r="AB7" s="738"/>
      <c r="AC7" s="183"/>
      <c r="AD7" s="183"/>
    </row>
    <row r="8" spans="2:34" x14ac:dyDescent="0.25">
      <c r="B8" s="13" t="s">
        <v>102</v>
      </c>
      <c r="C8" s="13" t="s">
        <v>109</v>
      </c>
      <c r="D8" s="941" t="str">
        <f>'Kalkulace a Porovnání'!D8</f>
        <v>[vyplnit]</v>
      </c>
      <c r="E8" s="942"/>
      <c r="F8" s="942"/>
      <c r="G8" s="942"/>
      <c r="H8" s="943"/>
      <c r="K8" s="13" t="s">
        <v>102</v>
      </c>
      <c r="L8" s="13" t="s">
        <v>109</v>
      </c>
      <c r="M8" s="941" t="str">
        <f>'Kalkulace a Porovnání'!M8</f>
        <v xml:space="preserve"> </v>
      </c>
      <c r="N8" s="942"/>
      <c r="O8" s="942"/>
      <c r="P8" s="942"/>
      <c r="Q8" s="943"/>
      <c r="T8" s="13" t="s">
        <v>102</v>
      </c>
      <c r="U8" s="13" t="s">
        <v>109</v>
      </c>
      <c r="V8" s="949" t="str">
        <f>'Kalkulace a Porovnání'!V8</f>
        <v xml:space="preserve"> </v>
      </c>
      <c r="W8" s="738"/>
      <c r="X8" s="738"/>
      <c r="Y8" s="738"/>
      <c r="Z8" s="738"/>
      <c r="AA8" s="738"/>
      <c r="AB8" s="738"/>
      <c r="AC8" s="183"/>
      <c r="AD8" s="183"/>
    </row>
    <row r="9" spans="2:34" x14ac:dyDescent="0.25">
      <c r="B9" s="13" t="s">
        <v>103</v>
      </c>
      <c r="C9" s="13" t="s">
        <v>108</v>
      </c>
      <c r="D9" s="941" t="str">
        <f>'Kalkulace a Porovnání'!D9</f>
        <v>[vyplnit]</v>
      </c>
      <c r="E9" s="942"/>
      <c r="F9" s="942"/>
      <c r="G9" s="942"/>
      <c r="H9" s="943"/>
      <c r="K9" s="13" t="s">
        <v>103</v>
      </c>
      <c r="L9" s="13" t="s">
        <v>108</v>
      </c>
      <c r="M9" s="941" t="str">
        <f>'Kalkulace a Porovnání'!M9</f>
        <v xml:space="preserve"> </v>
      </c>
      <c r="N9" s="942"/>
      <c r="O9" s="942"/>
      <c r="P9" s="942"/>
      <c r="Q9" s="943"/>
      <c r="T9" s="13" t="s">
        <v>103</v>
      </c>
      <c r="U9" s="13" t="s">
        <v>108</v>
      </c>
      <c r="V9" s="949" t="str">
        <f>'Kalkulace a Porovnání'!V9</f>
        <v xml:space="preserve"> </v>
      </c>
      <c r="W9" s="738"/>
      <c r="X9" s="738"/>
      <c r="Y9" s="738"/>
      <c r="Z9" s="738"/>
      <c r="AA9" s="738"/>
      <c r="AB9" s="738"/>
      <c r="AC9" s="183"/>
      <c r="AD9" s="183"/>
    </row>
    <row r="10" spans="2:34" x14ac:dyDescent="0.25">
      <c r="B10" s="13" t="s">
        <v>104</v>
      </c>
      <c r="C10" s="13" t="s">
        <v>110</v>
      </c>
      <c r="D10" s="941" t="str">
        <f>'Kalkulace a Porovnání'!D10</f>
        <v>[vyplnit]</v>
      </c>
      <c r="E10" s="942"/>
      <c r="F10" s="942"/>
      <c r="G10" s="942"/>
      <c r="H10" s="943"/>
      <c r="K10" s="13" t="s">
        <v>104</v>
      </c>
      <c r="L10" s="13" t="s">
        <v>110</v>
      </c>
      <c r="M10" s="941" t="str">
        <f>'Kalkulace a Porovnání'!M10</f>
        <v xml:space="preserve"> </v>
      </c>
      <c r="N10" s="942"/>
      <c r="O10" s="942"/>
      <c r="P10" s="942"/>
      <c r="Q10" s="943"/>
      <c r="T10" s="13" t="s">
        <v>104</v>
      </c>
      <c r="U10" s="13" t="s">
        <v>110</v>
      </c>
      <c r="V10" s="949" t="str">
        <f>'Kalkulace a Porovnání'!V10</f>
        <v xml:space="preserve"> </v>
      </c>
      <c r="W10" s="738"/>
      <c r="X10" s="738"/>
      <c r="Y10" s="738"/>
      <c r="Z10" s="738"/>
      <c r="AA10" s="738"/>
      <c r="AB10" s="738"/>
      <c r="AC10" s="183"/>
      <c r="AD10" s="183"/>
    </row>
    <row r="11" spans="2:34" x14ac:dyDescent="0.25">
      <c r="AC11" s="183"/>
    </row>
    <row r="12" spans="2:34" ht="15" customHeight="1" x14ac:dyDescent="0.25">
      <c r="B12" s="932" t="s">
        <v>5</v>
      </c>
      <c r="C12" s="721" t="s">
        <v>0</v>
      </c>
      <c r="D12" s="722"/>
      <c r="E12" s="722"/>
      <c r="F12" s="722"/>
      <c r="G12" s="722"/>
      <c r="H12" s="725"/>
      <c r="K12" s="932" t="s">
        <v>5</v>
      </c>
      <c r="L12" s="721" t="s">
        <v>0</v>
      </c>
      <c r="M12" s="722"/>
      <c r="N12" s="722"/>
      <c r="O12" s="722"/>
      <c r="P12" s="722"/>
      <c r="Q12" s="725"/>
      <c r="T12" s="932" t="s">
        <v>5</v>
      </c>
      <c r="U12" s="721" t="s">
        <v>0</v>
      </c>
      <c r="V12" s="722"/>
      <c r="W12" s="722"/>
      <c r="X12" s="722"/>
      <c r="Y12" s="722"/>
      <c r="Z12" s="722"/>
      <c r="AA12" s="722"/>
      <c r="AB12" s="725"/>
      <c r="AC12" s="183"/>
    </row>
    <row r="13" spans="2:34" x14ac:dyDescent="0.25">
      <c r="B13" s="930"/>
      <c r="C13" s="932" t="s">
        <v>1</v>
      </c>
      <c r="D13" s="929" t="s">
        <v>173</v>
      </c>
      <c r="E13" s="721" t="s">
        <v>3</v>
      </c>
      <c r="F13" s="722"/>
      <c r="G13" s="721" t="s">
        <v>4</v>
      </c>
      <c r="H13" s="725"/>
      <c r="K13" s="930"/>
      <c r="L13" s="932" t="s">
        <v>1</v>
      </c>
      <c r="M13" s="929" t="s">
        <v>173</v>
      </c>
      <c r="N13" s="721" t="s">
        <v>3</v>
      </c>
      <c r="O13" s="722"/>
      <c r="P13" s="721" t="s">
        <v>4</v>
      </c>
      <c r="Q13" s="725"/>
      <c r="T13" s="930"/>
      <c r="U13" s="932" t="s">
        <v>1</v>
      </c>
      <c r="V13" s="929" t="s">
        <v>173</v>
      </c>
      <c r="W13" s="721" t="s">
        <v>3</v>
      </c>
      <c r="X13" s="722"/>
      <c r="Y13" s="722"/>
      <c r="Z13" s="721" t="s">
        <v>4</v>
      </c>
      <c r="AA13" s="722"/>
      <c r="AB13" s="725"/>
      <c r="AC13" s="183"/>
    </row>
    <row r="14" spans="2:34" x14ac:dyDescent="0.25">
      <c r="B14" s="930"/>
      <c r="C14" s="930"/>
      <c r="D14" s="930"/>
      <c r="E14" s="30">
        <f>'Kalkulace a Porovnání'!E14</f>
        <v>2019</v>
      </c>
      <c r="F14" s="30">
        <f>'Kalkulace a Porovnání'!F14</f>
        <v>2020</v>
      </c>
      <c r="G14" s="30">
        <f>'Kalkulace a Porovnání'!G14</f>
        <v>2019</v>
      </c>
      <c r="H14" s="30">
        <f>'Kalkulace a Porovnání'!H14</f>
        <v>2020</v>
      </c>
      <c r="K14" s="930"/>
      <c r="L14" s="930"/>
      <c r="M14" s="930"/>
      <c r="N14" s="30">
        <f>'Kalkulace a Porovnání'!N14</f>
        <v>2019</v>
      </c>
      <c r="O14" s="30">
        <f>'Kalkulace a Porovnání'!O14</f>
        <v>2020</v>
      </c>
      <c r="P14" s="30">
        <f>'Kalkulace a Porovnání'!P14</f>
        <v>2019</v>
      </c>
      <c r="Q14" s="30">
        <f>'Kalkulace a Porovnání'!Q14</f>
        <v>2020</v>
      </c>
      <c r="T14" s="930"/>
      <c r="U14" s="930"/>
      <c r="V14" s="930"/>
      <c r="W14" s="30">
        <f>'Kalkulace a Porovnání'!W14</f>
        <v>2020</v>
      </c>
      <c r="X14" s="30">
        <f>'Kalkulace a Porovnání'!X14</f>
        <v>2020</v>
      </c>
      <c r="Y14" s="30">
        <f>'Kalkulace a Porovnání'!Y14</f>
        <v>2020</v>
      </c>
      <c r="Z14" s="30">
        <f>'Kalkulace a Porovnání'!Z14</f>
        <v>2020</v>
      </c>
      <c r="AA14" s="30">
        <f>'Kalkulace a Porovnání'!AA14</f>
        <v>2020</v>
      </c>
      <c r="AB14" s="30">
        <f>'Kalkulace a Porovnání'!AB14</f>
        <v>2020</v>
      </c>
      <c r="AC14" s="183"/>
    </row>
    <row r="15" spans="2:34" x14ac:dyDescent="0.25">
      <c r="B15" s="931"/>
      <c r="C15" s="931"/>
      <c r="D15" s="931"/>
      <c r="E15" s="7" t="s">
        <v>199</v>
      </c>
      <c r="F15" s="7" t="s">
        <v>114</v>
      </c>
      <c r="G15" s="7" t="s">
        <v>199</v>
      </c>
      <c r="H15" s="19" t="s">
        <v>114</v>
      </c>
      <c r="K15" s="931"/>
      <c r="L15" s="931"/>
      <c r="M15" s="931"/>
      <c r="N15" s="7" t="s">
        <v>199</v>
      </c>
      <c r="O15" s="7" t="s">
        <v>114</v>
      </c>
      <c r="P15" s="7" t="s">
        <v>199</v>
      </c>
      <c r="Q15" s="19" t="s">
        <v>114</v>
      </c>
      <c r="T15" s="931"/>
      <c r="U15" s="931"/>
      <c r="V15" s="931"/>
      <c r="W15" s="7" t="s">
        <v>198</v>
      </c>
      <c r="X15" s="7" t="s">
        <v>114</v>
      </c>
      <c r="Y15" s="7" t="s">
        <v>197</v>
      </c>
      <c r="Z15" s="7" t="s">
        <v>198</v>
      </c>
      <c r="AA15" s="7" t="s">
        <v>114</v>
      </c>
      <c r="AB15" s="19" t="s">
        <v>197</v>
      </c>
      <c r="AC15" s="183"/>
    </row>
    <row r="16" spans="2:34" x14ac:dyDescent="0.25">
      <c r="B16" s="11">
        <v>1</v>
      </c>
      <c r="C16" s="11">
        <v>2</v>
      </c>
      <c r="D16" s="11" t="s">
        <v>111</v>
      </c>
      <c r="E16" s="11">
        <v>3</v>
      </c>
      <c r="F16" s="11">
        <v>4</v>
      </c>
      <c r="G16" s="11">
        <v>6</v>
      </c>
      <c r="H16" s="22">
        <v>7</v>
      </c>
      <c r="K16" s="11">
        <v>1</v>
      </c>
      <c r="L16" s="11">
        <v>2</v>
      </c>
      <c r="M16" s="11" t="s">
        <v>111</v>
      </c>
      <c r="N16" s="11">
        <v>3</v>
      </c>
      <c r="O16" s="11">
        <v>4</v>
      </c>
      <c r="P16" s="11">
        <v>6</v>
      </c>
      <c r="Q16" s="22">
        <v>7</v>
      </c>
      <c r="T16" s="11">
        <v>1</v>
      </c>
      <c r="U16" s="11">
        <v>2</v>
      </c>
      <c r="V16" s="11" t="s">
        <v>111</v>
      </c>
      <c r="W16" s="11">
        <v>3</v>
      </c>
      <c r="X16" s="11">
        <v>4</v>
      </c>
      <c r="Y16" s="11">
        <v>5</v>
      </c>
      <c r="Z16" s="11">
        <v>6</v>
      </c>
      <c r="AA16" s="11">
        <v>7</v>
      </c>
      <c r="AB16" s="22">
        <v>8</v>
      </c>
      <c r="AC16" s="183"/>
    </row>
    <row r="17" spans="2:37" x14ac:dyDescent="0.25">
      <c r="B17" s="9" t="s">
        <v>8</v>
      </c>
      <c r="C17" s="10" t="s">
        <v>9</v>
      </c>
      <c r="D17" s="11" t="s">
        <v>10</v>
      </c>
      <c r="E17" s="46">
        <f>'Kalkulace a Porovnání'!E17</f>
        <v>0</v>
      </c>
      <c r="F17" s="46">
        <f>'Kalkulace a Porovnání'!F17</f>
        <v>0</v>
      </c>
      <c r="G17" s="46">
        <f>'Kalkulace a Porovnání'!G17</f>
        <v>0</v>
      </c>
      <c r="H17" s="98">
        <f>'Kalkulace a Porovnání'!H17</f>
        <v>0.28999999999999998</v>
      </c>
      <c r="K17" s="9" t="s">
        <v>8</v>
      </c>
      <c r="L17" s="10" t="s">
        <v>9</v>
      </c>
      <c r="M17" s="11" t="s">
        <v>10</v>
      </c>
      <c r="N17" s="46">
        <f>'Kalkulace a Porovnání'!N17</f>
        <v>0</v>
      </c>
      <c r="O17" s="46">
        <f>'Kalkulace a Porovnání'!O17</f>
        <v>0</v>
      </c>
      <c r="P17" s="46">
        <f>'Kalkulace a Porovnání'!P17</f>
        <v>0</v>
      </c>
      <c r="Q17" s="98">
        <f>'Kalkulace a Porovnání'!Q17</f>
        <v>0</v>
      </c>
      <c r="T17" s="9" t="s">
        <v>8</v>
      </c>
      <c r="U17" s="10" t="s">
        <v>9</v>
      </c>
      <c r="V17" s="11" t="s">
        <v>10</v>
      </c>
      <c r="W17" s="46">
        <f>'Kalkulace a Porovnání'!W17</f>
        <v>0</v>
      </c>
      <c r="X17" s="46">
        <f>'Kalkulace a Porovnání'!X17</f>
        <v>0</v>
      </c>
      <c r="Y17" s="46">
        <f>'Kalkulace a Porovnání'!Y17</f>
        <v>0</v>
      </c>
      <c r="Z17" s="46">
        <f>'Kalkulace a Porovnání'!Z17</f>
        <v>0</v>
      </c>
      <c r="AA17" s="46">
        <f>'Kalkulace a Porovnání'!AA17</f>
        <v>0.28999999999999998</v>
      </c>
      <c r="AB17" s="98">
        <f>'Kalkulace a Porovnání'!AB17</f>
        <v>-0.28999999999999998</v>
      </c>
      <c r="AC17" s="183"/>
    </row>
    <row r="18" spans="2:37" x14ac:dyDescent="0.25">
      <c r="B18" s="12" t="s">
        <v>11</v>
      </c>
      <c r="C18" s="13" t="s">
        <v>12</v>
      </c>
      <c r="D18" s="3" t="s">
        <v>10</v>
      </c>
      <c r="E18" s="49">
        <f>'Kalkulace a Porovnání'!E18</f>
        <v>0</v>
      </c>
      <c r="F18" s="49">
        <f>'Kalkulace a Porovnání'!F18</f>
        <v>0</v>
      </c>
      <c r="G18" s="49">
        <f>'Kalkulace a Porovnání'!G18</f>
        <v>0</v>
      </c>
      <c r="H18" s="32">
        <f>'Kalkulace a Porovnání'!H18</f>
        <v>0</v>
      </c>
      <c r="K18" s="12" t="s">
        <v>11</v>
      </c>
      <c r="L18" s="13" t="s">
        <v>12</v>
      </c>
      <c r="M18" s="3" t="s">
        <v>10</v>
      </c>
      <c r="N18" s="49">
        <f>'Kalkulace a Porovnání'!N18</f>
        <v>0</v>
      </c>
      <c r="O18" s="49">
        <f>'Kalkulace a Porovnání'!O18</f>
        <v>0</v>
      </c>
      <c r="P18" s="49">
        <f>'Kalkulace a Porovnání'!P18</f>
        <v>0</v>
      </c>
      <c r="Q18" s="32">
        <f>'Kalkulace a Porovnání'!Q18</f>
        <v>0</v>
      </c>
      <c r="T18" s="12" t="s">
        <v>11</v>
      </c>
      <c r="U18" s="13" t="s">
        <v>12</v>
      </c>
      <c r="V18" s="3" t="s">
        <v>10</v>
      </c>
      <c r="W18" s="49">
        <f>'Kalkulace a Porovnání'!W18</f>
        <v>0</v>
      </c>
      <c r="X18" s="49">
        <f>'Kalkulace a Porovnání'!X18</f>
        <v>0</v>
      </c>
      <c r="Y18" s="49">
        <f>'Kalkulace a Porovnání'!Y18</f>
        <v>0</v>
      </c>
      <c r="Z18" s="49">
        <f>'Kalkulace a Porovnání'!Z18</f>
        <v>0</v>
      </c>
      <c r="AA18" s="49">
        <f>'Kalkulace a Porovnání'!AA18</f>
        <v>0</v>
      </c>
      <c r="AB18" s="32">
        <f>'Kalkulace a Porovnání'!AB18</f>
        <v>0</v>
      </c>
      <c r="AC18" s="183"/>
    </row>
    <row r="19" spans="2:37" x14ac:dyDescent="0.25">
      <c r="B19" s="12" t="s">
        <v>13</v>
      </c>
      <c r="C19" s="12" t="s">
        <v>14</v>
      </c>
      <c r="D19" s="3" t="s">
        <v>10</v>
      </c>
      <c r="E19" s="49">
        <f>'Kalkulace a Porovnání'!E19</f>
        <v>0</v>
      </c>
      <c r="F19" s="49">
        <f>'Kalkulace a Porovnání'!F19</f>
        <v>0</v>
      </c>
      <c r="G19" s="49">
        <f>'Kalkulace a Porovnání'!G19</f>
        <v>0</v>
      </c>
      <c r="H19" s="32">
        <f>'Kalkulace a Porovnání'!H19</f>
        <v>0.28999999999999998</v>
      </c>
      <c r="K19" s="12" t="s">
        <v>13</v>
      </c>
      <c r="L19" s="12" t="s">
        <v>14</v>
      </c>
      <c r="M19" s="3" t="s">
        <v>10</v>
      </c>
      <c r="N19" s="49">
        <f>'Kalkulace a Porovnání'!N19</f>
        <v>0</v>
      </c>
      <c r="O19" s="49">
        <f>'Kalkulace a Porovnání'!O19</f>
        <v>0</v>
      </c>
      <c r="P19" s="49">
        <f>'Kalkulace a Porovnání'!P19</f>
        <v>0</v>
      </c>
      <c r="Q19" s="32">
        <f>'Kalkulace a Porovnání'!Q19</f>
        <v>0</v>
      </c>
      <c r="T19" s="12" t="s">
        <v>13</v>
      </c>
      <c r="U19" s="12" t="s">
        <v>14</v>
      </c>
      <c r="V19" s="3" t="s">
        <v>10</v>
      </c>
      <c r="W19" s="49">
        <f>'Kalkulace a Porovnání'!W19</f>
        <v>0</v>
      </c>
      <c r="X19" s="49">
        <f>'Kalkulace a Porovnání'!X19</f>
        <v>0</v>
      </c>
      <c r="Y19" s="49">
        <f>'Kalkulace a Porovnání'!Y19</f>
        <v>0</v>
      </c>
      <c r="Z19" s="49">
        <f>'Kalkulace a Porovnání'!Z19</f>
        <v>0</v>
      </c>
      <c r="AA19" s="49">
        <f>'Kalkulace a Porovnání'!AA19</f>
        <v>0.28999999999999998</v>
      </c>
      <c r="AB19" s="32">
        <f>'Kalkulace a Porovnání'!AB19</f>
        <v>-0.28999999999999998</v>
      </c>
      <c r="AC19" s="183"/>
    </row>
    <row r="20" spans="2:37" x14ac:dyDescent="0.25">
      <c r="B20" s="12" t="s">
        <v>15</v>
      </c>
      <c r="C20" s="13" t="s">
        <v>16</v>
      </c>
      <c r="D20" s="3" t="s">
        <v>10</v>
      </c>
      <c r="E20" s="49">
        <f>'Kalkulace a Porovnání'!E20</f>
        <v>0</v>
      </c>
      <c r="F20" s="49">
        <f>'Kalkulace a Porovnání'!F20</f>
        <v>0</v>
      </c>
      <c r="G20" s="49">
        <f>'Kalkulace a Porovnání'!G20</f>
        <v>0</v>
      </c>
      <c r="H20" s="32">
        <f>'Kalkulace a Porovnání'!H20</f>
        <v>0</v>
      </c>
      <c r="K20" s="12" t="s">
        <v>15</v>
      </c>
      <c r="L20" s="13" t="s">
        <v>16</v>
      </c>
      <c r="M20" s="3" t="s">
        <v>10</v>
      </c>
      <c r="N20" s="49">
        <f>'Kalkulace a Porovnání'!N20</f>
        <v>0</v>
      </c>
      <c r="O20" s="49">
        <f>'Kalkulace a Porovnání'!O20</f>
        <v>0</v>
      </c>
      <c r="P20" s="49">
        <f>'Kalkulace a Porovnání'!P20</f>
        <v>0</v>
      </c>
      <c r="Q20" s="32">
        <f>'Kalkulace a Porovnání'!Q20</f>
        <v>0</v>
      </c>
      <c r="T20" s="12" t="s">
        <v>15</v>
      </c>
      <c r="U20" s="13" t="s">
        <v>16</v>
      </c>
      <c r="V20" s="3" t="s">
        <v>10</v>
      </c>
      <c r="W20" s="49">
        <f>'Kalkulace a Porovnání'!W20</f>
        <v>0</v>
      </c>
      <c r="X20" s="49">
        <f>'Kalkulace a Porovnání'!X20</f>
        <v>0</v>
      </c>
      <c r="Y20" s="49">
        <f>'Kalkulace a Porovnání'!Y20</f>
        <v>0</v>
      </c>
      <c r="Z20" s="49">
        <f>'Kalkulace a Porovnání'!Z20</f>
        <v>0</v>
      </c>
      <c r="AA20" s="49">
        <f>'Kalkulace a Porovnání'!AA20</f>
        <v>0</v>
      </c>
      <c r="AB20" s="32">
        <f>'Kalkulace a Porovnání'!AB20</f>
        <v>0</v>
      </c>
      <c r="AC20" s="183"/>
    </row>
    <row r="21" spans="2:37" x14ac:dyDescent="0.25">
      <c r="B21" s="12" t="s">
        <v>17</v>
      </c>
      <c r="C21" s="13" t="s">
        <v>18</v>
      </c>
      <c r="D21" s="3" t="s">
        <v>10</v>
      </c>
      <c r="E21" s="49">
        <f>'Kalkulace a Porovnání'!E21</f>
        <v>0</v>
      </c>
      <c r="F21" s="49">
        <f>'Kalkulace a Porovnání'!F21</f>
        <v>0</v>
      </c>
      <c r="G21" s="49">
        <f>'Kalkulace a Porovnání'!G21</f>
        <v>0</v>
      </c>
      <c r="H21" s="32">
        <f>'Kalkulace a Porovnání'!H21</f>
        <v>0</v>
      </c>
      <c r="K21" s="12" t="s">
        <v>17</v>
      </c>
      <c r="L21" s="13" t="s">
        <v>18</v>
      </c>
      <c r="M21" s="3" t="s">
        <v>10</v>
      </c>
      <c r="N21" s="49">
        <f>'Kalkulace a Porovnání'!N21</f>
        <v>0</v>
      </c>
      <c r="O21" s="49">
        <f>'Kalkulace a Porovnání'!O21</f>
        <v>0</v>
      </c>
      <c r="P21" s="49">
        <f>'Kalkulace a Porovnání'!P21</f>
        <v>0</v>
      </c>
      <c r="Q21" s="32">
        <f>'Kalkulace a Porovnání'!Q21</f>
        <v>0</v>
      </c>
      <c r="T21" s="12" t="s">
        <v>17</v>
      </c>
      <c r="U21" s="13" t="s">
        <v>18</v>
      </c>
      <c r="V21" s="3" t="s">
        <v>10</v>
      </c>
      <c r="W21" s="49">
        <f>'Kalkulace a Porovnání'!W21</f>
        <v>0</v>
      </c>
      <c r="X21" s="49">
        <f>'Kalkulace a Porovnání'!X21</f>
        <v>0</v>
      </c>
      <c r="Y21" s="49">
        <f>'Kalkulace a Porovnání'!Y21</f>
        <v>0</v>
      </c>
      <c r="Z21" s="49">
        <f>'Kalkulace a Porovnání'!Z21</f>
        <v>0</v>
      </c>
      <c r="AA21" s="49">
        <f>'Kalkulace a Porovnání'!AA21</f>
        <v>0</v>
      </c>
      <c r="AB21" s="32">
        <f>'Kalkulace a Porovnání'!AB21</f>
        <v>0</v>
      </c>
      <c r="AC21" s="183"/>
    </row>
    <row r="22" spans="2:37" x14ac:dyDescent="0.25">
      <c r="B22" s="9" t="s">
        <v>19</v>
      </c>
      <c r="C22" s="10" t="s">
        <v>20</v>
      </c>
      <c r="D22" s="11" t="s">
        <v>10</v>
      </c>
      <c r="E22" s="46">
        <f>'Kalkulace a Porovnání'!E22</f>
        <v>0</v>
      </c>
      <c r="F22" s="46">
        <f>'Kalkulace a Porovnání'!F22</f>
        <v>0</v>
      </c>
      <c r="G22" s="46">
        <f>'Kalkulace a Porovnání'!G22</f>
        <v>0</v>
      </c>
      <c r="H22" s="98">
        <f>'Kalkulace a Porovnání'!H22</f>
        <v>0</v>
      </c>
      <c r="K22" s="9" t="s">
        <v>19</v>
      </c>
      <c r="L22" s="10" t="s">
        <v>20</v>
      </c>
      <c r="M22" s="11" t="s">
        <v>10</v>
      </c>
      <c r="N22" s="46">
        <f>'Kalkulace a Porovnání'!N22</f>
        <v>0</v>
      </c>
      <c r="O22" s="46">
        <f>'Kalkulace a Porovnání'!O22</f>
        <v>0</v>
      </c>
      <c r="P22" s="46">
        <f>'Kalkulace a Porovnání'!P22</f>
        <v>0</v>
      </c>
      <c r="Q22" s="98">
        <f>'Kalkulace a Porovnání'!Q22</f>
        <v>0</v>
      </c>
      <c r="T22" s="9" t="s">
        <v>19</v>
      </c>
      <c r="U22" s="10" t="s">
        <v>20</v>
      </c>
      <c r="V22" s="11" t="s">
        <v>10</v>
      </c>
      <c r="W22" s="46">
        <f>'Kalkulace a Porovnání'!W22</f>
        <v>0</v>
      </c>
      <c r="X22" s="46">
        <f>'Kalkulace a Porovnání'!X22</f>
        <v>0</v>
      </c>
      <c r="Y22" s="46">
        <f>'Kalkulace a Porovnání'!Y22</f>
        <v>0</v>
      </c>
      <c r="Z22" s="46">
        <f>'Kalkulace a Porovnání'!Z22</f>
        <v>0</v>
      </c>
      <c r="AA22" s="46">
        <f>'Kalkulace a Porovnání'!AA22</f>
        <v>0</v>
      </c>
      <c r="AB22" s="98">
        <f>'Kalkulace a Porovnání'!AB22</f>
        <v>0</v>
      </c>
      <c r="AC22" s="183"/>
    </row>
    <row r="23" spans="2:37" x14ac:dyDescent="0.25">
      <c r="B23" s="12" t="s">
        <v>21</v>
      </c>
      <c r="C23" s="12" t="s">
        <v>22</v>
      </c>
      <c r="D23" s="3" t="s">
        <v>10</v>
      </c>
      <c r="E23" s="49">
        <f>'Kalkulace a Porovnání'!E23</f>
        <v>0</v>
      </c>
      <c r="F23" s="49">
        <f>'Kalkulace a Porovnání'!F23</f>
        <v>0</v>
      </c>
      <c r="G23" s="49">
        <f>'Kalkulace a Porovnání'!G23</f>
        <v>0</v>
      </c>
      <c r="H23" s="32">
        <f>'Kalkulace a Porovnání'!H23</f>
        <v>0</v>
      </c>
      <c r="K23" s="12" t="s">
        <v>21</v>
      </c>
      <c r="L23" s="12" t="s">
        <v>22</v>
      </c>
      <c r="M23" s="3" t="s">
        <v>10</v>
      </c>
      <c r="N23" s="49">
        <f>'Kalkulace a Porovnání'!N23</f>
        <v>0</v>
      </c>
      <c r="O23" s="49">
        <f>'Kalkulace a Porovnání'!O23</f>
        <v>0</v>
      </c>
      <c r="P23" s="49">
        <f>'Kalkulace a Porovnání'!P23</f>
        <v>0</v>
      </c>
      <c r="Q23" s="32">
        <f>'Kalkulace a Porovnání'!Q23</f>
        <v>0</v>
      </c>
      <c r="T23" s="12" t="s">
        <v>21</v>
      </c>
      <c r="U23" s="12" t="s">
        <v>22</v>
      </c>
      <c r="V23" s="3" t="s">
        <v>10</v>
      </c>
      <c r="W23" s="49">
        <f>'Kalkulace a Porovnání'!W23</f>
        <v>0</v>
      </c>
      <c r="X23" s="49">
        <f>'Kalkulace a Porovnání'!X23</f>
        <v>0</v>
      </c>
      <c r="Y23" s="49">
        <f>'Kalkulace a Porovnání'!Y23</f>
        <v>0</v>
      </c>
      <c r="Z23" s="49">
        <f>'Kalkulace a Porovnání'!Z23</f>
        <v>0</v>
      </c>
      <c r="AA23" s="49">
        <f>'Kalkulace a Porovnání'!AA23</f>
        <v>0</v>
      </c>
      <c r="AB23" s="32">
        <f>'Kalkulace a Porovnání'!AB23</f>
        <v>0</v>
      </c>
      <c r="AC23" s="183"/>
    </row>
    <row r="24" spans="2:37" x14ac:dyDescent="0.25">
      <c r="B24" s="12" t="s">
        <v>23</v>
      </c>
      <c r="C24" s="12" t="s">
        <v>24</v>
      </c>
      <c r="D24" s="3" t="s">
        <v>10</v>
      </c>
      <c r="E24" s="49">
        <f>'Kalkulace a Porovnání'!E24</f>
        <v>0</v>
      </c>
      <c r="F24" s="49">
        <f>'Kalkulace a Porovnání'!F24</f>
        <v>0</v>
      </c>
      <c r="G24" s="49">
        <f>'Kalkulace a Porovnání'!G24</f>
        <v>0</v>
      </c>
      <c r="H24" s="32">
        <f>'Kalkulace a Porovnání'!H24</f>
        <v>0</v>
      </c>
      <c r="K24" s="12" t="s">
        <v>23</v>
      </c>
      <c r="L24" s="12" t="s">
        <v>24</v>
      </c>
      <c r="M24" s="3" t="s">
        <v>10</v>
      </c>
      <c r="N24" s="49">
        <f>'Kalkulace a Porovnání'!N24</f>
        <v>0</v>
      </c>
      <c r="O24" s="49">
        <f>'Kalkulace a Porovnání'!O24</f>
        <v>0</v>
      </c>
      <c r="P24" s="49">
        <f>'Kalkulace a Porovnání'!P24</f>
        <v>0</v>
      </c>
      <c r="Q24" s="32">
        <f>'Kalkulace a Porovnání'!Q24</f>
        <v>0</v>
      </c>
      <c r="T24" s="12" t="s">
        <v>23</v>
      </c>
      <c r="U24" s="12" t="s">
        <v>24</v>
      </c>
      <c r="V24" s="3" t="s">
        <v>10</v>
      </c>
      <c r="W24" s="49">
        <f>'Kalkulace a Porovnání'!W24</f>
        <v>0</v>
      </c>
      <c r="X24" s="49">
        <f>'Kalkulace a Porovnání'!X24</f>
        <v>0</v>
      </c>
      <c r="Y24" s="49">
        <f>'Kalkulace a Porovnání'!Y24</f>
        <v>0</v>
      </c>
      <c r="Z24" s="49">
        <f>'Kalkulace a Porovnání'!Z24</f>
        <v>0</v>
      </c>
      <c r="AA24" s="49">
        <f>'Kalkulace a Porovnání'!AA24</f>
        <v>0</v>
      </c>
      <c r="AB24" s="32">
        <f>'Kalkulace a Porovnání'!AB24</f>
        <v>0</v>
      </c>
      <c r="AC24" s="183"/>
    </row>
    <row r="25" spans="2:37" x14ac:dyDescent="0.25">
      <c r="B25" s="9" t="s">
        <v>25</v>
      </c>
      <c r="C25" s="10" t="s">
        <v>26</v>
      </c>
      <c r="D25" s="11" t="s">
        <v>10</v>
      </c>
      <c r="E25" s="46">
        <f>'Kalkulace a Porovnání'!E25</f>
        <v>0</v>
      </c>
      <c r="F25" s="46">
        <f>'Kalkulace a Porovnání'!F25</f>
        <v>0</v>
      </c>
      <c r="G25" s="46">
        <f>'Kalkulace a Porovnání'!G25</f>
        <v>0</v>
      </c>
      <c r="H25" s="98">
        <f>'Kalkulace a Porovnání'!H25</f>
        <v>0</v>
      </c>
      <c r="K25" s="9" t="s">
        <v>25</v>
      </c>
      <c r="L25" s="10" t="s">
        <v>26</v>
      </c>
      <c r="M25" s="11" t="s">
        <v>10</v>
      </c>
      <c r="N25" s="46">
        <f>'Kalkulace a Porovnání'!N25</f>
        <v>0</v>
      </c>
      <c r="O25" s="46">
        <f>'Kalkulace a Porovnání'!O25</f>
        <v>0</v>
      </c>
      <c r="P25" s="46">
        <f>'Kalkulace a Porovnání'!P25</f>
        <v>0</v>
      </c>
      <c r="Q25" s="98">
        <f>'Kalkulace a Porovnání'!Q25</f>
        <v>0</v>
      </c>
      <c r="T25" s="9" t="s">
        <v>25</v>
      </c>
      <c r="U25" s="10" t="s">
        <v>26</v>
      </c>
      <c r="V25" s="11" t="s">
        <v>10</v>
      </c>
      <c r="W25" s="46">
        <f>'Kalkulace a Porovnání'!W25</f>
        <v>0</v>
      </c>
      <c r="X25" s="46">
        <f>'Kalkulace a Porovnání'!X25</f>
        <v>0</v>
      </c>
      <c r="Y25" s="46">
        <f>'Kalkulace a Porovnání'!Y25</f>
        <v>0</v>
      </c>
      <c r="Z25" s="46">
        <f>'Kalkulace a Porovnání'!Z25</f>
        <v>0</v>
      </c>
      <c r="AA25" s="46">
        <f>'Kalkulace a Porovnání'!AA25</f>
        <v>0</v>
      </c>
      <c r="AB25" s="98">
        <f>'Kalkulace a Porovnání'!AB25</f>
        <v>0</v>
      </c>
      <c r="AC25" s="183"/>
      <c r="AD25" s="183"/>
    </row>
    <row r="26" spans="2:37" x14ac:dyDescent="0.25">
      <c r="B26" s="12" t="s">
        <v>27</v>
      </c>
      <c r="C26" s="13" t="s">
        <v>28</v>
      </c>
      <c r="D26" s="3" t="s">
        <v>10</v>
      </c>
      <c r="E26" s="49">
        <f>'Kalkulace a Porovnání'!E26</f>
        <v>0</v>
      </c>
      <c r="F26" s="49">
        <f>'Kalkulace a Porovnání'!F26</f>
        <v>0</v>
      </c>
      <c r="G26" s="49">
        <f>'Kalkulace a Porovnání'!G26</f>
        <v>0</v>
      </c>
      <c r="H26" s="32">
        <f>'Kalkulace a Porovnání'!H26</f>
        <v>0</v>
      </c>
      <c r="K26" s="12" t="s">
        <v>27</v>
      </c>
      <c r="L26" s="13" t="s">
        <v>28</v>
      </c>
      <c r="M26" s="3" t="s">
        <v>10</v>
      </c>
      <c r="N26" s="49">
        <f>'Kalkulace a Porovnání'!N26</f>
        <v>0</v>
      </c>
      <c r="O26" s="49">
        <f>'Kalkulace a Porovnání'!O26</f>
        <v>0</v>
      </c>
      <c r="P26" s="49">
        <f>'Kalkulace a Porovnání'!P26</f>
        <v>0</v>
      </c>
      <c r="Q26" s="32">
        <f>'Kalkulace a Porovnání'!Q26</f>
        <v>0</v>
      </c>
      <c r="T26" s="12" t="s">
        <v>27</v>
      </c>
      <c r="U26" s="13" t="s">
        <v>28</v>
      </c>
      <c r="V26" s="3" t="s">
        <v>10</v>
      </c>
      <c r="W26" s="49">
        <f>'Kalkulace a Porovnání'!W26</f>
        <v>0</v>
      </c>
      <c r="X26" s="49">
        <f>'Kalkulace a Porovnání'!X26</f>
        <v>0</v>
      </c>
      <c r="Y26" s="49">
        <f>'Kalkulace a Porovnání'!Y26</f>
        <v>0</v>
      </c>
      <c r="Z26" s="49">
        <f>'Kalkulace a Porovnání'!Z26</f>
        <v>0</v>
      </c>
      <c r="AA26" s="49">
        <f>'Kalkulace a Porovnání'!AA26</f>
        <v>0</v>
      </c>
      <c r="AB26" s="32">
        <f>'Kalkulace a Porovnání'!AB26</f>
        <v>0</v>
      </c>
      <c r="AC26" s="183"/>
      <c r="AD26" s="183"/>
    </row>
    <row r="27" spans="2:37" x14ac:dyDescent="0.25">
      <c r="B27" s="12" t="s">
        <v>29</v>
      </c>
      <c r="C27" s="13" t="s">
        <v>30</v>
      </c>
      <c r="D27" s="3" t="s">
        <v>10</v>
      </c>
      <c r="E27" s="49">
        <f>'Kalkulace a Porovnání'!E27</f>
        <v>0</v>
      </c>
      <c r="F27" s="49">
        <f>'Kalkulace a Porovnání'!F27</f>
        <v>0</v>
      </c>
      <c r="G27" s="49">
        <f>'Kalkulace a Porovnání'!G27</f>
        <v>0</v>
      </c>
      <c r="H27" s="32">
        <f>'Kalkulace a Porovnání'!H27</f>
        <v>0</v>
      </c>
      <c r="K27" s="12" t="s">
        <v>29</v>
      </c>
      <c r="L27" s="13" t="s">
        <v>30</v>
      </c>
      <c r="M27" s="3" t="s">
        <v>10</v>
      </c>
      <c r="N27" s="49">
        <f>'Kalkulace a Porovnání'!N27</f>
        <v>0</v>
      </c>
      <c r="O27" s="49">
        <f>'Kalkulace a Porovnání'!O27</f>
        <v>0</v>
      </c>
      <c r="P27" s="49">
        <f>'Kalkulace a Porovnání'!P27</f>
        <v>0</v>
      </c>
      <c r="Q27" s="32">
        <f>'Kalkulace a Porovnání'!Q27</f>
        <v>0</v>
      </c>
      <c r="T27" s="12" t="s">
        <v>29</v>
      </c>
      <c r="U27" s="13" t="s">
        <v>30</v>
      </c>
      <c r="V27" s="3" t="s">
        <v>10</v>
      </c>
      <c r="W27" s="49">
        <f>'Kalkulace a Porovnání'!W27</f>
        <v>0</v>
      </c>
      <c r="X27" s="49">
        <f>'Kalkulace a Porovnání'!X27</f>
        <v>0</v>
      </c>
      <c r="Y27" s="49">
        <f>'Kalkulace a Porovnání'!Y27</f>
        <v>0</v>
      </c>
      <c r="Z27" s="49">
        <f>'Kalkulace a Porovnání'!Z27</f>
        <v>0</v>
      </c>
      <c r="AA27" s="49">
        <f>'Kalkulace a Porovnání'!AA27</f>
        <v>0</v>
      </c>
      <c r="AB27" s="32">
        <f>'Kalkulace a Porovnání'!AB27</f>
        <v>0</v>
      </c>
      <c r="AC27" s="183"/>
      <c r="AD27" s="183"/>
    </row>
    <row r="28" spans="2:37" x14ac:dyDescent="0.25">
      <c r="B28" s="9" t="s">
        <v>31</v>
      </c>
      <c r="C28" s="10" t="s">
        <v>32</v>
      </c>
      <c r="D28" s="11" t="s">
        <v>10</v>
      </c>
      <c r="E28" s="46">
        <f>'Kalkulace a Porovnání'!E28</f>
        <v>0</v>
      </c>
      <c r="F28" s="46">
        <f>'Kalkulace a Porovnání'!F28</f>
        <v>0</v>
      </c>
      <c r="G28" s="46">
        <f>'Kalkulace a Porovnání'!G28</f>
        <v>0</v>
      </c>
      <c r="H28" s="98">
        <f>'Kalkulace a Porovnání'!H28</f>
        <v>0.14000000000000001</v>
      </c>
      <c r="K28" s="9" t="s">
        <v>31</v>
      </c>
      <c r="L28" s="10" t="s">
        <v>32</v>
      </c>
      <c r="M28" s="11" t="s">
        <v>10</v>
      </c>
      <c r="N28" s="46">
        <f>'Kalkulace a Porovnání'!N28</f>
        <v>0</v>
      </c>
      <c r="O28" s="46">
        <f>'Kalkulace a Porovnání'!O28</f>
        <v>0</v>
      </c>
      <c r="P28" s="46">
        <f>'Kalkulace a Porovnání'!P28</f>
        <v>0</v>
      </c>
      <c r="Q28" s="98">
        <f>'Kalkulace a Porovnání'!Q28</f>
        <v>0</v>
      </c>
      <c r="T28" s="9" t="s">
        <v>31</v>
      </c>
      <c r="U28" s="10" t="s">
        <v>32</v>
      </c>
      <c r="V28" s="11" t="s">
        <v>10</v>
      </c>
      <c r="W28" s="46">
        <f>'Kalkulace a Porovnání'!W28</f>
        <v>0</v>
      </c>
      <c r="X28" s="46">
        <f>'Kalkulace a Porovnání'!X28</f>
        <v>0</v>
      </c>
      <c r="Y28" s="46">
        <f>'Kalkulace a Porovnání'!Y28</f>
        <v>0</v>
      </c>
      <c r="Z28" s="46">
        <f>'Kalkulace a Porovnání'!Z28</f>
        <v>0</v>
      </c>
      <c r="AA28" s="46">
        <f>'Kalkulace a Porovnání'!AA28</f>
        <v>0.14000000000000001</v>
      </c>
      <c r="AB28" s="98">
        <f>'Kalkulace a Porovnání'!AB28</f>
        <v>-0.14000000000000001</v>
      </c>
      <c r="AC28" s="183"/>
      <c r="AD28" s="183"/>
    </row>
    <row r="29" spans="2:37" x14ac:dyDescent="0.25">
      <c r="B29" s="12" t="s">
        <v>33</v>
      </c>
      <c r="C29" s="21" t="s">
        <v>34</v>
      </c>
      <c r="D29" s="3" t="s">
        <v>10</v>
      </c>
      <c r="E29" s="49">
        <f>'Kalkulace a Porovnání'!E29</f>
        <v>0</v>
      </c>
      <c r="F29" s="49">
        <f>'Kalkulace a Porovnání'!F29</f>
        <v>0</v>
      </c>
      <c r="G29" s="49">
        <f>'Kalkulace a Porovnání'!G29</f>
        <v>0</v>
      </c>
      <c r="H29" s="32">
        <f>'Kalkulace a Porovnání'!H29</f>
        <v>0</v>
      </c>
      <c r="K29" s="12" t="s">
        <v>33</v>
      </c>
      <c r="L29" s="21" t="s">
        <v>34</v>
      </c>
      <c r="M29" s="3" t="s">
        <v>10</v>
      </c>
      <c r="N29" s="49">
        <f>'Kalkulace a Porovnání'!N29</f>
        <v>0</v>
      </c>
      <c r="O29" s="49">
        <f>'Kalkulace a Porovnání'!O29</f>
        <v>0</v>
      </c>
      <c r="P29" s="49">
        <f>'Kalkulace a Porovnání'!P29</f>
        <v>0</v>
      </c>
      <c r="Q29" s="32">
        <f>'Kalkulace a Porovnání'!Q29</f>
        <v>0</v>
      </c>
      <c r="T29" s="12" t="s">
        <v>33</v>
      </c>
      <c r="U29" s="21" t="s">
        <v>34</v>
      </c>
      <c r="V29" s="3" t="s">
        <v>10</v>
      </c>
      <c r="W29" s="49">
        <f>'Kalkulace a Porovnání'!W29</f>
        <v>0</v>
      </c>
      <c r="X29" s="49">
        <f>'Kalkulace a Porovnání'!X29</f>
        <v>0</v>
      </c>
      <c r="Y29" s="49">
        <f>'Kalkulace a Porovnání'!Y29</f>
        <v>0</v>
      </c>
      <c r="Z29" s="49">
        <f>'Kalkulace a Porovnání'!Z29</f>
        <v>0</v>
      </c>
      <c r="AA29" s="49">
        <f>'Kalkulace a Porovnání'!AA29</f>
        <v>0</v>
      </c>
      <c r="AB29" s="32">
        <f>'Kalkulace a Porovnání'!AB29</f>
        <v>0</v>
      </c>
      <c r="AC29" s="183"/>
      <c r="AD29" s="183"/>
      <c r="AG29" s="183"/>
      <c r="AH29" s="183"/>
    </row>
    <row r="30" spans="2:37" x14ac:dyDescent="0.25">
      <c r="B30" s="12" t="s">
        <v>35</v>
      </c>
      <c r="C30" s="13" t="s">
        <v>36</v>
      </c>
      <c r="D30" s="3" t="s">
        <v>10</v>
      </c>
      <c r="E30" s="49">
        <f>'Kalkulace a Porovnání'!E30</f>
        <v>0</v>
      </c>
      <c r="F30" s="49">
        <f>'Kalkulace a Porovnání'!F30</f>
        <v>0</v>
      </c>
      <c r="G30" s="49">
        <f>'Kalkulace a Porovnání'!G30</f>
        <v>0</v>
      </c>
      <c r="H30" s="32">
        <f>'Kalkulace a Porovnání'!H30</f>
        <v>0</v>
      </c>
      <c r="K30" s="12" t="s">
        <v>35</v>
      </c>
      <c r="L30" s="13" t="s">
        <v>36</v>
      </c>
      <c r="M30" s="3" t="s">
        <v>10</v>
      </c>
      <c r="N30" s="49">
        <f>'Kalkulace a Porovnání'!N30</f>
        <v>0</v>
      </c>
      <c r="O30" s="49">
        <f>'Kalkulace a Porovnání'!O30</f>
        <v>0</v>
      </c>
      <c r="P30" s="49">
        <f>'Kalkulace a Porovnání'!P30</f>
        <v>0</v>
      </c>
      <c r="Q30" s="32">
        <f>'Kalkulace a Porovnání'!Q30</f>
        <v>0</v>
      </c>
      <c r="T30" s="12" t="s">
        <v>35</v>
      </c>
      <c r="U30" s="13" t="s">
        <v>36</v>
      </c>
      <c r="V30" s="3" t="s">
        <v>10</v>
      </c>
      <c r="W30" s="49">
        <f>'Kalkulace a Porovnání'!W30</f>
        <v>0</v>
      </c>
      <c r="X30" s="49">
        <f>'Kalkulace a Porovnání'!X30</f>
        <v>0</v>
      </c>
      <c r="Y30" s="49">
        <f>'Kalkulace a Porovnání'!Y30</f>
        <v>0</v>
      </c>
      <c r="Z30" s="49">
        <f>'Kalkulace a Porovnání'!Z30</f>
        <v>0</v>
      </c>
      <c r="AA30" s="49">
        <f>'Kalkulace a Porovnání'!AA30</f>
        <v>0</v>
      </c>
      <c r="AB30" s="32">
        <f>'Kalkulace a Porovnání'!AB30</f>
        <v>0</v>
      </c>
      <c r="AC30" s="183"/>
      <c r="AD30" s="183"/>
      <c r="AG30" s="183"/>
      <c r="AH30" s="183"/>
    </row>
    <row r="31" spans="2:37" ht="15" customHeight="1" x14ac:dyDescent="0.25">
      <c r="B31" s="12" t="s">
        <v>37</v>
      </c>
      <c r="C31" s="13" t="s">
        <v>38</v>
      </c>
      <c r="D31" s="3" t="s">
        <v>10</v>
      </c>
      <c r="E31" s="49">
        <f>'Kalkulace a Porovnání'!E31</f>
        <v>0</v>
      </c>
      <c r="F31" s="49">
        <f>'Kalkulace a Porovnání'!F31</f>
        <v>0</v>
      </c>
      <c r="G31" s="49">
        <f>'Kalkulace a Porovnání'!G31</f>
        <v>0</v>
      </c>
      <c r="H31" s="32">
        <f>'Kalkulace a Porovnání'!H31</f>
        <v>0.14000000000000001</v>
      </c>
      <c r="K31" s="12" t="s">
        <v>37</v>
      </c>
      <c r="L31" s="13" t="s">
        <v>38</v>
      </c>
      <c r="M31" s="3" t="s">
        <v>10</v>
      </c>
      <c r="N31" s="49">
        <f>'Kalkulace a Porovnání'!N31</f>
        <v>0</v>
      </c>
      <c r="O31" s="49">
        <f>'Kalkulace a Porovnání'!O31</f>
        <v>0</v>
      </c>
      <c r="P31" s="49">
        <f>'Kalkulace a Porovnání'!P31</f>
        <v>0</v>
      </c>
      <c r="Q31" s="32">
        <f>'Kalkulace a Porovnání'!Q31</f>
        <v>0</v>
      </c>
      <c r="T31" s="12" t="s">
        <v>37</v>
      </c>
      <c r="U31" s="13" t="s">
        <v>38</v>
      </c>
      <c r="V31" s="3" t="s">
        <v>10</v>
      </c>
      <c r="W31" s="49">
        <f>'Kalkulace a Porovnání'!W31</f>
        <v>0</v>
      </c>
      <c r="X31" s="49">
        <f>'Kalkulace a Porovnání'!X31</f>
        <v>0</v>
      </c>
      <c r="Y31" s="49">
        <f>'Kalkulace a Porovnání'!Y31</f>
        <v>0</v>
      </c>
      <c r="Z31" s="49">
        <f>'Kalkulace a Porovnání'!Z31</f>
        <v>0</v>
      </c>
      <c r="AA31" s="49">
        <f>'Kalkulace a Porovnání'!AA31</f>
        <v>0.14000000000000001</v>
      </c>
      <c r="AB31" s="32">
        <f>'Kalkulace a Porovnání'!AB31</f>
        <v>-0.14000000000000001</v>
      </c>
      <c r="AC31" s="183"/>
      <c r="AD31" s="547"/>
      <c r="AG31" s="342"/>
      <c r="AH31" s="342"/>
      <c r="AI31" s="342"/>
      <c r="AJ31" s="342"/>
      <c r="AK31" s="342"/>
    </row>
    <row r="32" spans="2:37" ht="15" customHeight="1" x14ac:dyDescent="0.25">
      <c r="B32" s="12" t="s">
        <v>39</v>
      </c>
      <c r="C32" s="21" t="s">
        <v>40</v>
      </c>
      <c r="D32" s="3" t="s">
        <v>10</v>
      </c>
      <c r="E32" s="49">
        <f>'Kalkulace a Porovnání'!E32</f>
        <v>0</v>
      </c>
      <c r="F32" s="49">
        <f>'Kalkulace a Porovnání'!F32</f>
        <v>0</v>
      </c>
      <c r="G32" s="49">
        <f>'Kalkulace a Porovnání'!G32</f>
        <v>0</v>
      </c>
      <c r="H32" s="32">
        <f>'Kalkulace a Porovnání'!H32</f>
        <v>0</v>
      </c>
      <c r="K32" s="12" t="s">
        <v>39</v>
      </c>
      <c r="L32" s="21" t="s">
        <v>40</v>
      </c>
      <c r="M32" s="3" t="s">
        <v>10</v>
      </c>
      <c r="N32" s="49">
        <f>'Kalkulace a Porovnání'!N32</f>
        <v>0</v>
      </c>
      <c r="O32" s="49">
        <f>'Kalkulace a Porovnání'!O32</f>
        <v>0</v>
      </c>
      <c r="P32" s="49">
        <f>'Kalkulace a Porovnání'!P32</f>
        <v>0</v>
      </c>
      <c r="Q32" s="32">
        <f>'Kalkulace a Porovnání'!Q32</f>
        <v>0</v>
      </c>
      <c r="T32" s="12" t="s">
        <v>39</v>
      </c>
      <c r="U32" s="21" t="s">
        <v>40</v>
      </c>
      <c r="V32" s="3" t="s">
        <v>10</v>
      </c>
      <c r="W32" s="49">
        <f>'Kalkulace a Porovnání'!W32</f>
        <v>0</v>
      </c>
      <c r="X32" s="49">
        <f>'Kalkulace a Porovnání'!X32</f>
        <v>0</v>
      </c>
      <c r="Y32" s="49">
        <f>'Kalkulace a Porovnání'!Y32</f>
        <v>0</v>
      </c>
      <c r="Z32" s="49">
        <f>'Kalkulace a Porovnání'!Z32</f>
        <v>0</v>
      </c>
      <c r="AA32" s="49">
        <f>'Kalkulace a Porovnání'!AA32</f>
        <v>0</v>
      </c>
      <c r="AB32" s="32">
        <f>'Kalkulace a Porovnání'!AB32</f>
        <v>0</v>
      </c>
      <c r="AC32" s="183"/>
      <c r="AD32" s="547"/>
      <c r="AG32" s="342"/>
      <c r="AH32" s="342"/>
      <c r="AI32" s="342"/>
      <c r="AJ32" s="342"/>
      <c r="AK32" s="342"/>
    </row>
    <row r="33" spans="2:42" ht="18" customHeight="1" x14ac:dyDescent="0.25">
      <c r="B33" s="9" t="s">
        <v>41</v>
      </c>
      <c r="C33" s="10" t="s">
        <v>42</v>
      </c>
      <c r="D33" s="11" t="s">
        <v>10</v>
      </c>
      <c r="E33" s="46">
        <f>'Kalkulace a Porovnání'!E33</f>
        <v>0</v>
      </c>
      <c r="F33" s="46">
        <f>'Kalkulace a Porovnání'!F33</f>
        <v>0</v>
      </c>
      <c r="G33" s="46">
        <f>'Kalkulace a Porovnání'!G33</f>
        <v>0</v>
      </c>
      <c r="H33" s="98">
        <f>'Kalkulace a Porovnání'!H33</f>
        <v>0</v>
      </c>
      <c r="K33" s="9" t="s">
        <v>41</v>
      </c>
      <c r="L33" s="10" t="s">
        <v>42</v>
      </c>
      <c r="M33" s="11" t="s">
        <v>10</v>
      </c>
      <c r="N33" s="46">
        <f>'Kalkulace a Porovnání'!N33</f>
        <v>0</v>
      </c>
      <c r="O33" s="46">
        <f>'Kalkulace a Porovnání'!O33</f>
        <v>0</v>
      </c>
      <c r="P33" s="46">
        <f>'Kalkulace a Porovnání'!P33</f>
        <v>0</v>
      </c>
      <c r="Q33" s="98">
        <f>'Kalkulace a Porovnání'!Q33</f>
        <v>0</v>
      </c>
      <c r="T33" s="9" t="s">
        <v>41</v>
      </c>
      <c r="U33" s="10" t="s">
        <v>42</v>
      </c>
      <c r="V33" s="11" t="s">
        <v>10</v>
      </c>
      <c r="W33" s="46">
        <f>'Kalkulace a Porovnání'!W33</f>
        <v>0</v>
      </c>
      <c r="X33" s="46">
        <f>'Kalkulace a Porovnání'!X33</f>
        <v>0</v>
      </c>
      <c r="Y33" s="46">
        <f>'Kalkulace a Porovnání'!Y33</f>
        <v>0</v>
      </c>
      <c r="Z33" s="46">
        <f>'Kalkulace a Porovnání'!Z33</f>
        <v>0</v>
      </c>
      <c r="AA33" s="46">
        <f>'Kalkulace a Porovnání'!AA33</f>
        <v>0</v>
      </c>
      <c r="AB33" s="98">
        <f>'Kalkulace a Porovnání'!AB33</f>
        <v>0</v>
      </c>
      <c r="AC33" s="183"/>
      <c r="AD33" s="547"/>
      <c r="AG33" s="548"/>
      <c r="AH33" s="548"/>
      <c r="AI33" s="342"/>
      <c r="AJ33" s="342"/>
      <c r="AK33" s="342"/>
    </row>
    <row r="34" spans="2:42" x14ac:dyDescent="0.25">
      <c r="B34" s="12" t="s">
        <v>43</v>
      </c>
      <c r="C34" s="13" t="s">
        <v>44</v>
      </c>
      <c r="D34" s="3" t="s">
        <v>10</v>
      </c>
      <c r="E34" s="49">
        <f>'Kalkulace a Porovnání'!E34</f>
        <v>0</v>
      </c>
      <c r="F34" s="49">
        <f>'Kalkulace a Porovnání'!F34</f>
        <v>0</v>
      </c>
      <c r="G34" s="49">
        <f>'Kalkulace a Porovnání'!G34</f>
        <v>0</v>
      </c>
      <c r="H34" s="32">
        <f>'Kalkulace a Porovnání'!H34</f>
        <v>0</v>
      </c>
      <c r="K34" s="12" t="s">
        <v>43</v>
      </c>
      <c r="L34" s="13" t="s">
        <v>44</v>
      </c>
      <c r="M34" s="3" t="s">
        <v>10</v>
      </c>
      <c r="N34" s="49">
        <f>'Kalkulace a Porovnání'!N34</f>
        <v>0</v>
      </c>
      <c r="O34" s="49">
        <f>'Kalkulace a Porovnání'!O34</f>
        <v>0</v>
      </c>
      <c r="P34" s="49">
        <f>'Kalkulace a Porovnání'!P34</f>
        <v>0</v>
      </c>
      <c r="Q34" s="32">
        <f>'Kalkulace a Porovnání'!Q34</f>
        <v>0</v>
      </c>
      <c r="T34" s="12" t="s">
        <v>43</v>
      </c>
      <c r="U34" s="13" t="s">
        <v>44</v>
      </c>
      <c r="V34" s="3" t="s">
        <v>10</v>
      </c>
      <c r="W34" s="49">
        <f>'Kalkulace a Porovnání'!W34</f>
        <v>0</v>
      </c>
      <c r="X34" s="49">
        <f>'Kalkulace a Porovnání'!X34</f>
        <v>0</v>
      </c>
      <c r="Y34" s="49">
        <f>'Kalkulace a Porovnání'!Y34</f>
        <v>0</v>
      </c>
      <c r="Z34" s="49">
        <f>'Kalkulace a Porovnání'!Z34</f>
        <v>0</v>
      </c>
      <c r="AA34" s="49">
        <f>'Kalkulace a Porovnání'!AA34</f>
        <v>0</v>
      </c>
      <c r="AB34" s="32">
        <f>'Kalkulace a Porovnání'!AB34</f>
        <v>0</v>
      </c>
      <c r="AC34" s="183"/>
      <c r="AD34" s="547"/>
      <c r="AG34" s="972"/>
      <c r="AH34" s="972"/>
      <c r="AI34" s="342"/>
      <c r="AJ34" s="342"/>
      <c r="AK34" s="342"/>
    </row>
    <row r="35" spans="2:42" x14ac:dyDescent="0.25">
      <c r="B35" s="12" t="s">
        <v>45</v>
      </c>
      <c r="C35" s="12" t="s">
        <v>46</v>
      </c>
      <c r="D35" s="3" t="s">
        <v>10</v>
      </c>
      <c r="E35" s="49">
        <f>'Kalkulace a Porovnání'!E35</f>
        <v>0</v>
      </c>
      <c r="F35" s="49">
        <f>'Kalkulace a Porovnání'!F35</f>
        <v>0</v>
      </c>
      <c r="G35" s="49">
        <f>'Kalkulace a Porovnání'!G35</f>
        <v>0</v>
      </c>
      <c r="H35" s="32">
        <f>'Kalkulace a Porovnání'!H35</f>
        <v>0</v>
      </c>
      <c r="K35" s="12" t="s">
        <v>45</v>
      </c>
      <c r="L35" s="12" t="s">
        <v>46</v>
      </c>
      <c r="M35" s="3" t="s">
        <v>10</v>
      </c>
      <c r="N35" s="49">
        <f>'Kalkulace a Porovnání'!N35</f>
        <v>0</v>
      </c>
      <c r="O35" s="49">
        <f>'Kalkulace a Porovnání'!O35</f>
        <v>0</v>
      </c>
      <c r="P35" s="49">
        <f>'Kalkulace a Porovnání'!P35</f>
        <v>0</v>
      </c>
      <c r="Q35" s="32">
        <f>'Kalkulace a Porovnání'!Q35</f>
        <v>0</v>
      </c>
      <c r="T35" s="12" t="s">
        <v>45</v>
      </c>
      <c r="U35" s="12" t="s">
        <v>46</v>
      </c>
      <c r="V35" s="3" t="s">
        <v>10</v>
      </c>
      <c r="W35" s="49">
        <f>'Kalkulace a Porovnání'!W35</f>
        <v>0</v>
      </c>
      <c r="X35" s="49">
        <f>'Kalkulace a Porovnání'!X35</f>
        <v>0</v>
      </c>
      <c r="Y35" s="49">
        <f>'Kalkulace a Porovnání'!Y35</f>
        <v>0</v>
      </c>
      <c r="Z35" s="49">
        <f>'Kalkulace a Porovnání'!Z35</f>
        <v>0</v>
      </c>
      <c r="AA35" s="49">
        <f>'Kalkulace a Porovnání'!AA35</f>
        <v>0</v>
      </c>
      <c r="AB35" s="32">
        <f>'Kalkulace a Porovnání'!AB35</f>
        <v>0</v>
      </c>
      <c r="AC35" s="183"/>
      <c r="AD35" s="547"/>
      <c r="AG35" s="972"/>
      <c r="AH35" s="972"/>
      <c r="AI35" s="342"/>
      <c r="AJ35" s="342"/>
      <c r="AK35" s="342"/>
      <c r="AL35" s="452"/>
      <c r="AM35" s="452"/>
      <c r="AN35" s="452"/>
      <c r="AO35" s="452"/>
      <c r="AP35" s="452"/>
    </row>
    <row r="36" spans="2:42" x14ac:dyDescent="0.25">
      <c r="B36" s="12" t="s">
        <v>47</v>
      </c>
      <c r="C36" s="13" t="s">
        <v>48</v>
      </c>
      <c r="D36" s="3" t="s">
        <v>10</v>
      </c>
      <c r="E36" s="49">
        <f>'Kalkulace a Porovnání'!E36</f>
        <v>0</v>
      </c>
      <c r="F36" s="49">
        <f>'Kalkulace a Porovnání'!F36</f>
        <v>0</v>
      </c>
      <c r="G36" s="49">
        <f>'Kalkulace a Porovnání'!G36</f>
        <v>0</v>
      </c>
      <c r="H36" s="32">
        <f>'Kalkulace a Porovnání'!H36</f>
        <v>0</v>
      </c>
      <c r="K36" s="12" t="s">
        <v>47</v>
      </c>
      <c r="L36" s="13" t="s">
        <v>48</v>
      </c>
      <c r="M36" s="3" t="s">
        <v>10</v>
      </c>
      <c r="N36" s="49">
        <f>'Kalkulace a Porovnání'!N36</f>
        <v>0</v>
      </c>
      <c r="O36" s="49">
        <f>'Kalkulace a Porovnání'!O36</f>
        <v>0</v>
      </c>
      <c r="P36" s="49">
        <f>'Kalkulace a Porovnání'!P36</f>
        <v>0</v>
      </c>
      <c r="Q36" s="32">
        <f>'Kalkulace a Porovnání'!Q36</f>
        <v>0</v>
      </c>
      <c r="T36" s="12" t="s">
        <v>47</v>
      </c>
      <c r="U36" s="13" t="s">
        <v>48</v>
      </c>
      <c r="V36" s="3" t="s">
        <v>10</v>
      </c>
      <c r="W36" s="49">
        <f>'Kalkulace a Porovnání'!W36</f>
        <v>0</v>
      </c>
      <c r="X36" s="49">
        <f>'Kalkulace a Porovnání'!X36</f>
        <v>0</v>
      </c>
      <c r="Y36" s="49">
        <f>'Kalkulace a Porovnání'!Y36</f>
        <v>0</v>
      </c>
      <c r="Z36" s="49">
        <f>'Kalkulace a Porovnání'!Z36</f>
        <v>0</v>
      </c>
      <c r="AA36" s="49">
        <f>'Kalkulace a Porovnání'!AA36</f>
        <v>0</v>
      </c>
      <c r="AB36" s="32">
        <f>'Kalkulace a Porovnání'!AB36</f>
        <v>0</v>
      </c>
      <c r="AC36" s="183"/>
      <c r="AD36" s="547"/>
      <c r="AG36" s="545"/>
      <c r="AH36" s="545"/>
      <c r="AI36" s="342"/>
      <c r="AJ36" s="342"/>
      <c r="AK36" s="342"/>
      <c r="AL36" s="452"/>
      <c r="AM36" s="452"/>
      <c r="AN36" s="452"/>
      <c r="AO36" s="452"/>
      <c r="AP36" s="452"/>
    </row>
    <row r="37" spans="2:42" x14ac:dyDescent="0.25">
      <c r="B37" s="9" t="s">
        <v>49</v>
      </c>
      <c r="C37" s="10" t="s">
        <v>50</v>
      </c>
      <c r="D37" s="11" t="s">
        <v>10</v>
      </c>
      <c r="E37" s="49">
        <f>'Kalkulace a Porovnání'!E37</f>
        <v>0</v>
      </c>
      <c r="F37" s="49">
        <f>'Kalkulace a Porovnání'!F37</f>
        <v>0</v>
      </c>
      <c r="G37" s="49">
        <f>'Kalkulace a Porovnání'!G37</f>
        <v>0</v>
      </c>
      <c r="H37" s="32">
        <f>'Kalkulace a Porovnání'!H37</f>
        <v>0</v>
      </c>
      <c r="K37" s="9" t="s">
        <v>49</v>
      </c>
      <c r="L37" s="10" t="s">
        <v>50</v>
      </c>
      <c r="M37" s="11" t="s">
        <v>10</v>
      </c>
      <c r="N37" s="49">
        <f>'Kalkulace a Porovnání'!N37</f>
        <v>0</v>
      </c>
      <c r="O37" s="49">
        <f>'Kalkulace a Porovnání'!O37</f>
        <v>0</v>
      </c>
      <c r="P37" s="49">
        <f>'Kalkulace a Porovnání'!P37</f>
        <v>0</v>
      </c>
      <c r="Q37" s="32">
        <f>'Kalkulace a Porovnání'!Q37</f>
        <v>0</v>
      </c>
      <c r="T37" s="9" t="s">
        <v>49</v>
      </c>
      <c r="U37" s="10" t="s">
        <v>50</v>
      </c>
      <c r="V37" s="11" t="s">
        <v>10</v>
      </c>
      <c r="W37" s="49">
        <f>'Kalkulace a Porovnání'!W37</f>
        <v>0</v>
      </c>
      <c r="X37" s="49">
        <f>'Kalkulace a Porovnání'!X37</f>
        <v>0</v>
      </c>
      <c r="Y37" s="49">
        <f>'Kalkulace a Porovnání'!Y37</f>
        <v>0</v>
      </c>
      <c r="Z37" s="49">
        <f>'Kalkulace a Porovnání'!Z37</f>
        <v>0</v>
      </c>
      <c r="AA37" s="49">
        <f>'Kalkulace a Porovnání'!AA37</f>
        <v>0</v>
      </c>
      <c r="AB37" s="32">
        <f>'Kalkulace a Porovnání'!AB37</f>
        <v>0</v>
      </c>
      <c r="AC37" s="183"/>
      <c r="AD37" s="547"/>
      <c r="AG37" s="184"/>
      <c r="AH37" s="184"/>
      <c r="AI37" s="342"/>
      <c r="AJ37" s="342"/>
      <c r="AK37" s="342"/>
      <c r="AL37" s="452"/>
      <c r="AM37" s="452"/>
      <c r="AN37" s="452"/>
      <c r="AO37" s="452"/>
      <c r="AP37" s="452"/>
    </row>
    <row r="38" spans="2:42" x14ac:dyDescent="0.25">
      <c r="B38" s="9" t="s">
        <v>51</v>
      </c>
      <c r="C38" s="10" t="s">
        <v>52</v>
      </c>
      <c r="D38" s="11" t="s">
        <v>10</v>
      </c>
      <c r="E38" s="49">
        <f>'Kalkulace a Porovnání'!E38</f>
        <v>0</v>
      </c>
      <c r="F38" s="49">
        <f>'Kalkulace a Porovnání'!F38</f>
        <v>0</v>
      </c>
      <c r="G38" s="49">
        <f>'Kalkulace a Porovnání'!G38</f>
        <v>0</v>
      </c>
      <c r="H38" s="32">
        <f>'Kalkulace a Porovnání'!H38</f>
        <v>0</v>
      </c>
      <c r="K38" s="9" t="s">
        <v>51</v>
      </c>
      <c r="L38" s="10" t="s">
        <v>52</v>
      </c>
      <c r="M38" s="11" t="s">
        <v>10</v>
      </c>
      <c r="N38" s="49">
        <f>'Kalkulace a Porovnání'!N38</f>
        <v>0</v>
      </c>
      <c r="O38" s="49">
        <f>'Kalkulace a Porovnání'!O38</f>
        <v>0</v>
      </c>
      <c r="P38" s="49">
        <f>'Kalkulace a Porovnání'!P38</f>
        <v>0</v>
      </c>
      <c r="Q38" s="32">
        <f>'Kalkulace a Porovnání'!Q38</f>
        <v>0</v>
      </c>
      <c r="T38" s="9" t="s">
        <v>51</v>
      </c>
      <c r="U38" s="10" t="s">
        <v>52</v>
      </c>
      <c r="V38" s="11" t="s">
        <v>10</v>
      </c>
      <c r="W38" s="49">
        <f>'Kalkulace a Porovnání'!W38</f>
        <v>0</v>
      </c>
      <c r="X38" s="49">
        <f>'Kalkulace a Porovnání'!X38</f>
        <v>0</v>
      </c>
      <c r="Y38" s="49">
        <f>'Kalkulace a Porovnání'!Y38</f>
        <v>0</v>
      </c>
      <c r="Z38" s="49">
        <f>'Kalkulace a Porovnání'!Z38</f>
        <v>0</v>
      </c>
      <c r="AA38" s="49">
        <f>'Kalkulace a Porovnání'!AA38</f>
        <v>0</v>
      </c>
      <c r="AB38" s="32">
        <f>'Kalkulace a Porovnání'!AB38</f>
        <v>0</v>
      </c>
      <c r="AC38" s="183"/>
      <c r="AD38" s="547"/>
      <c r="AG38" s="184"/>
      <c r="AH38" s="184"/>
      <c r="AI38" s="342"/>
      <c r="AJ38" s="342"/>
      <c r="AK38" s="342"/>
    </row>
    <row r="39" spans="2:42" x14ac:dyDescent="0.25">
      <c r="B39" s="9" t="s">
        <v>53</v>
      </c>
      <c r="C39" s="10" t="s">
        <v>54</v>
      </c>
      <c r="D39" s="11" t="s">
        <v>10</v>
      </c>
      <c r="E39" s="49">
        <f>'Kalkulace a Porovnání'!E39</f>
        <v>0</v>
      </c>
      <c r="F39" s="49">
        <f>'Kalkulace a Porovnání'!F39</f>
        <v>0</v>
      </c>
      <c r="G39" s="49">
        <f>'Kalkulace a Porovnání'!G39</f>
        <v>0</v>
      </c>
      <c r="H39" s="32">
        <f>'Kalkulace a Porovnání'!H39</f>
        <v>0</v>
      </c>
      <c r="K39" s="9" t="s">
        <v>53</v>
      </c>
      <c r="L39" s="10" t="s">
        <v>54</v>
      </c>
      <c r="M39" s="11" t="s">
        <v>10</v>
      </c>
      <c r="N39" s="49">
        <f>'Kalkulace a Porovnání'!N39</f>
        <v>0</v>
      </c>
      <c r="O39" s="49">
        <f>'Kalkulace a Porovnání'!O39</f>
        <v>0</v>
      </c>
      <c r="P39" s="49">
        <f>'Kalkulace a Porovnání'!P39</f>
        <v>0</v>
      </c>
      <c r="Q39" s="32">
        <f>'Kalkulace a Porovnání'!Q39</f>
        <v>0</v>
      </c>
      <c r="T39" s="9" t="s">
        <v>53</v>
      </c>
      <c r="U39" s="10" t="s">
        <v>54</v>
      </c>
      <c r="V39" s="11" t="s">
        <v>10</v>
      </c>
      <c r="W39" s="49">
        <f>'Kalkulace a Porovnání'!W39</f>
        <v>0</v>
      </c>
      <c r="X39" s="49">
        <f>'Kalkulace a Porovnání'!X39</f>
        <v>0</v>
      </c>
      <c r="Y39" s="49">
        <f>'Kalkulace a Porovnání'!Y39</f>
        <v>0</v>
      </c>
      <c r="Z39" s="49">
        <f>'Kalkulace a Porovnání'!Z39</f>
        <v>0</v>
      </c>
      <c r="AA39" s="49">
        <f>'Kalkulace a Porovnání'!AA39</f>
        <v>0</v>
      </c>
      <c r="AB39" s="32">
        <f>'Kalkulace a Porovnání'!AB39</f>
        <v>0</v>
      </c>
      <c r="AC39" s="183"/>
      <c r="AD39" s="547"/>
      <c r="AG39" s="184"/>
      <c r="AH39" s="184"/>
      <c r="AI39" s="342"/>
      <c r="AJ39" s="342"/>
      <c r="AK39" s="342"/>
    </row>
    <row r="40" spans="2:42" x14ac:dyDescent="0.25">
      <c r="B40" s="9" t="s">
        <v>55</v>
      </c>
      <c r="C40" s="10" t="s">
        <v>56</v>
      </c>
      <c r="D40" s="11" t="s">
        <v>10</v>
      </c>
      <c r="E40" s="49">
        <f>'Kalkulace a Porovnání'!E40</f>
        <v>0</v>
      </c>
      <c r="F40" s="49">
        <f>'Kalkulace a Porovnání'!F40</f>
        <v>0</v>
      </c>
      <c r="G40" s="49">
        <f>'Kalkulace a Porovnání'!G40</f>
        <v>0</v>
      </c>
      <c r="H40" s="32">
        <f>'Kalkulace a Porovnání'!H40</f>
        <v>0</v>
      </c>
      <c r="K40" s="9" t="s">
        <v>55</v>
      </c>
      <c r="L40" s="10" t="s">
        <v>56</v>
      </c>
      <c r="M40" s="11" t="s">
        <v>10</v>
      </c>
      <c r="N40" s="49">
        <f>'Kalkulace a Porovnání'!N40</f>
        <v>0</v>
      </c>
      <c r="O40" s="49">
        <f>'Kalkulace a Porovnání'!O40</f>
        <v>0</v>
      </c>
      <c r="P40" s="49">
        <f>'Kalkulace a Porovnání'!P40</f>
        <v>0</v>
      </c>
      <c r="Q40" s="32">
        <f>'Kalkulace a Porovnání'!Q40</f>
        <v>0</v>
      </c>
      <c r="T40" s="9" t="s">
        <v>55</v>
      </c>
      <c r="U40" s="10" t="s">
        <v>56</v>
      </c>
      <c r="V40" s="11" t="s">
        <v>10</v>
      </c>
      <c r="W40" s="49">
        <f>'Kalkulace a Porovnání'!W40</f>
        <v>0</v>
      </c>
      <c r="X40" s="49">
        <f>'Kalkulace a Porovnání'!X40</f>
        <v>0</v>
      </c>
      <c r="Y40" s="49">
        <f>'Kalkulace a Porovnání'!Y40</f>
        <v>0</v>
      </c>
      <c r="Z40" s="49">
        <f>'Kalkulace a Porovnání'!Z40</f>
        <v>0</v>
      </c>
      <c r="AA40" s="49">
        <f>'Kalkulace a Porovnání'!AA40</f>
        <v>0</v>
      </c>
      <c r="AB40" s="32">
        <f>'Kalkulace a Porovnání'!AB40</f>
        <v>0</v>
      </c>
      <c r="AC40" s="183"/>
      <c r="AD40" s="547"/>
      <c r="AG40" s="184"/>
      <c r="AH40" s="184"/>
      <c r="AI40" s="342"/>
      <c r="AJ40" s="342"/>
      <c r="AK40" s="342"/>
    </row>
    <row r="41" spans="2:42" x14ac:dyDescent="0.25">
      <c r="B41" s="9" t="s">
        <v>57</v>
      </c>
      <c r="C41" s="10" t="s">
        <v>58</v>
      </c>
      <c r="D41" s="11" t="s">
        <v>10</v>
      </c>
      <c r="E41" s="46">
        <f>'Kalkulace a Porovnání'!E41</f>
        <v>0</v>
      </c>
      <c r="F41" s="46">
        <f>'Kalkulace a Porovnání'!F41</f>
        <v>0</v>
      </c>
      <c r="G41" s="46">
        <f>'Kalkulace a Porovnání'!G41</f>
        <v>0</v>
      </c>
      <c r="H41" s="98">
        <f>'Kalkulace a Porovnání'!H41</f>
        <v>0.43</v>
      </c>
      <c r="K41" s="9" t="s">
        <v>57</v>
      </c>
      <c r="L41" s="10" t="s">
        <v>58</v>
      </c>
      <c r="M41" s="11" t="s">
        <v>10</v>
      </c>
      <c r="N41" s="46">
        <f>'Kalkulace a Porovnání'!N41</f>
        <v>0</v>
      </c>
      <c r="O41" s="46">
        <f>'Kalkulace a Porovnání'!O41</f>
        <v>0</v>
      </c>
      <c r="P41" s="46">
        <f>'Kalkulace a Porovnání'!P41</f>
        <v>0</v>
      </c>
      <c r="Q41" s="98">
        <f>'Kalkulace a Porovnání'!Q41</f>
        <v>0</v>
      </c>
      <c r="T41" s="9" t="s">
        <v>57</v>
      </c>
      <c r="U41" s="10" t="s">
        <v>58</v>
      </c>
      <c r="V41" s="11" t="s">
        <v>10</v>
      </c>
      <c r="W41" s="46">
        <f>'Kalkulace a Porovnání'!W41</f>
        <v>0</v>
      </c>
      <c r="X41" s="46">
        <f>'Kalkulace a Porovnání'!X41</f>
        <v>0</v>
      </c>
      <c r="Y41" s="46">
        <f>'Kalkulace a Porovnání'!Y41</f>
        <v>0</v>
      </c>
      <c r="Z41" s="46">
        <f>'Kalkulace a Porovnání'!Z41</f>
        <v>0</v>
      </c>
      <c r="AA41" s="46">
        <f>'Kalkulace a Porovnání'!AA41</f>
        <v>0.43</v>
      </c>
      <c r="AB41" s="98">
        <f>'Kalkulace a Porovnání'!AB41</f>
        <v>-0.43</v>
      </c>
      <c r="AC41" s="183"/>
      <c r="AD41" s="547"/>
      <c r="AG41" s="184"/>
      <c r="AH41" s="184"/>
      <c r="AI41" s="342"/>
      <c r="AJ41" s="342"/>
      <c r="AK41" s="342"/>
    </row>
    <row r="42" spans="2:42" x14ac:dyDescent="0.25">
      <c r="B42" s="12" t="s">
        <v>59</v>
      </c>
      <c r="C42" s="13" t="s">
        <v>112</v>
      </c>
      <c r="D42" s="3" t="s">
        <v>10</v>
      </c>
      <c r="E42" s="437">
        <f>'Kalkulace a Porovnání'!E42</f>
        <v>0</v>
      </c>
      <c r="F42" s="437">
        <f>'Kalkulace a Porovnání'!F42</f>
        <v>0</v>
      </c>
      <c r="G42" s="437">
        <f>'Kalkulace a Porovnání'!G42</f>
        <v>0</v>
      </c>
      <c r="H42" s="438">
        <f>'Kalkulace a Porovnání'!H42</f>
        <v>0</v>
      </c>
      <c r="K42" s="12" t="s">
        <v>59</v>
      </c>
      <c r="L42" s="13" t="s">
        <v>112</v>
      </c>
      <c r="M42" s="3" t="s">
        <v>10</v>
      </c>
      <c r="N42" s="437">
        <f>'Kalkulace a Porovnání'!N42</f>
        <v>0</v>
      </c>
      <c r="O42" s="437">
        <f>'Kalkulace a Porovnání'!O42</f>
        <v>0</v>
      </c>
      <c r="P42" s="437">
        <f>'Kalkulace a Porovnání'!P42</f>
        <v>0</v>
      </c>
      <c r="Q42" s="438">
        <f>'Kalkulace a Porovnání'!Q42</f>
        <v>0</v>
      </c>
      <c r="T42" s="12" t="s">
        <v>59</v>
      </c>
      <c r="U42" s="13" t="s">
        <v>112</v>
      </c>
      <c r="V42" s="3" t="s">
        <v>10</v>
      </c>
      <c r="W42" s="437">
        <f>'Kalkulace a Porovnání'!W42</f>
        <v>0</v>
      </c>
      <c r="X42" s="437">
        <f>'Kalkulace a Porovnání'!X42</f>
        <v>0</v>
      </c>
      <c r="Y42" s="437">
        <f>'Kalkulace a Porovnání'!Y42</f>
        <v>0</v>
      </c>
      <c r="Z42" s="437">
        <f>'Kalkulace a Porovnání'!Z42</f>
        <v>0</v>
      </c>
      <c r="AA42" s="437">
        <f>'Kalkulace a Porovnání'!AA42</f>
        <v>0</v>
      </c>
      <c r="AB42" s="438">
        <f>'Kalkulace a Porovnání'!AB42</f>
        <v>0</v>
      </c>
      <c r="AC42" s="183"/>
      <c r="AD42" s="547"/>
      <c r="AG42" s="973"/>
      <c r="AH42" s="973"/>
      <c r="AI42" s="342"/>
      <c r="AJ42" s="342"/>
      <c r="AK42" s="342"/>
    </row>
    <row r="43" spans="2:42" x14ac:dyDescent="0.25">
      <c r="B43" s="12" t="s">
        <v>60</v>
      </c>
      <c r="C43" s="13" t="s">
        <v>113</v>
      </c>
      <c r="D43" s="3" t="s">
        <v>10</v>
      </c>
      <c r="E43" s="437">
        <f>'Kalkulace a Porovnání'!E43</f>
        <v>0</v>
      </c>
      <c r="F43" s="437">
        <f>'Kalkulace a Porovnání'!F43</f>
        <v>0</v>
      </c>
      <c r="G43" s="437">
        <f>'Kalkulace a Porovnání'!G43</f>
        <v>0</v>
      </c>
      <c r="H43" s="438">
        <f>'Kalkulace a Porovnání'!H43</f>
        <v>0</v>
      </c>
      <c r="K43" s="12" t="s">
        <v>60</v>
      </c>
      <c r="L43" s="13" t="s">
        <v>113</v>
      </c>
      <c r="M43" s="3" t="s">
        <v>10</v>
      </c>
      <c r="N43" s="437">
        <f>'Kalkulace a Porovnání'!N43</f>
        <v>0</v>
      </c>
      <c r="O43" s="437">
        <f>'Kalkulace a Porovnání'!O43</f>
        <v>0</v>
      </c>
      <c r="P43" s="437">
        <f>'Kalkulace a Porovnání'!P43</f>
        <v>0</v>
      </c>
      <c r="Q43" s="438">
        <f>'Kalkulace a Porovnání'!Q43</f>
        <v>0</v>
      </c>
      <c r="T43" s="12" t="s">
        <v>60</v>
      </c>
      <c r="U43" s="13" t="s">
        <v>113</v>
      </c>
      <c r="V43" s="3" t="s">
        <v>10</v>
      </c>
      <c r="W43" s="437">
        <f>'Kalkulace a Porovnání'!W43</f>
        <v>0</v>
      </c>
      <c r="X43" s="437">
        <f>'Kalkulace a Porovnání'!X43</f>
        <v>0</v>
      </c>
      <c r="Y43" s="437">
        <f>'Kalkulace a Porovnání'!Y43</f>
        <v>0</v>
      </c>
      <c r="Z43" s="437">
        <f>'Kalkulace a Porovnání'!Z43</f>
        <v>0</v>
      </c>
      <c r="AA43" s="437">
        <f>'Kalkulace a Porovnání'!AA43</f>
        <v>0</v>
      </c>
      <c r="AB43" s="438">
        <f>'Kalkulace a Porovnání'!AB43</f>
        <v>0</v>
      </c>
      <c r="AC43" s="183"/>
      <c r="AD43" s="547"/>
      <c r="AG43" s="973"/>
      <c r="AH43" s="973"/>
      <c r="AI43" s="342"/>
      <c r="AJ43" s="342"/>
      <c r="AK43" s="342"/>
    </row>
    <row r="44" spans="2:42" x14ac:dyDescent="0.25">
      <c r="B44" s="12" t="s">
        <v>61</v>
      </c>
      <c r="C44" s="13" t="s">
        <v>62</v>
      </c>
      <c r="D44" s="3" t="s">
        <v>63</v>
      </c>
      <c r="E44" s="439">
        <f>'Kalkulace a Porovnání'!E44</f>
        <v>0</v>
      </c>
      <c r="F44" s="439">
        <f>'Kalkulace a Porovnání'!F44</f>
        <v>0</v>
      </c>
      <c r="G44" s="439">
        <f>'Kalkulace a Porovnání'!G44</f>
        <v>0</v>
      </c>
      <c r="H44" s="440">
        <f>'Kalkulace a Porovnání'!H44</f>
        <v>0</v>
      </c>
      <c r="K44" s="12" t="s">
        <v>61</v>
      </c>
      <c r="L44" s="13" t="s">
        <v>62</v>
      </c>
      <c r="M44" s="3" t="s">
        <v>63</v>
      </c>
      <c r="N44" s="439">
        <f>'Kalkulace a Porovnání'!N44</f>
        <v>0</v>
      </c>
      <c r="O44" s="439">
        <f>'Kalkulace a Porovnání'!O44</f>
        <v>0</v>
      </c>
      <c r="P44" s="439">
        <f>'Kalkulace a Porovnání'!P44</f>
        <v>0</v>
      </c>
      <c r="Q44" s="440">
        <f>'Kalkulace a Porovnání'!Q44</f>
        <v>0</v>
      </c>
      <c r="T44" s="12" t="s">
        <v>61</v>
      </c>
      <c r="U44" s="13" t="s">
        <v>62</v>
      </c>
      <c r="V44" s="3" t="s">
        <v>63</v>
      </c>
      <c r="W44" s="439">
        <f>'Kalkulace a Porovnání'!W44</f>
        <v>0</v>
      </c>
      <c r="X44" s="439">
        <f>'Kalkulace a Porovnání'!X44</f>
        <v>0</v>
      </c>
      <c r="Y44" s="439">
        <f>'Kalkulace a Porovnání'!Y44</f>
        <v>0</v>
      </c>
      <c r="Z44" s="439">
        <f>'Kalkulace a Porovnání'!Z44</f>
        <v>0</v>
      </c>
      <c r="AA44" s="439">
        <f>'Kalkulace a Porovnání'!AA44</f>
        <v>0</v>
      </c>
      <c r="AB44" s="440">
        <f>'Kalkulace a Porovnání'!AB44</f>
        <v>0</v>
      </c>
      <c r="AC44" s="183"/>
      <c r="AD44" s="547"/>
      <c r="AG44" s="972"/>
      <c r="AH44" s="972"/>
      <c r="AI44" s="342"/>
      <c r="AJ44" s="342"/>
      <c r="AK44" s="342"/>
    </row>
    <row r="45" spans="2:42" x14ac:dyDescent="0.25">
      <c r="B45" s="12" t="s">
        <v>64</v>
      </c>
      <c r="C45" s="13" t="s">
        <v>65</v>
      </c>
      <c r="D45" s="3" t="s">
        <v>66</v>
      </c>
      <c r="E45" s="49">
        <f>'Kalkulace a Porovnání'!E45</f>
        <v>0</v>
      </c>
      <c r="F45" s="49">
        <f>'Kalkulace a Porovnání'!F45</f>
        <v>0</v>
      </c>
      <c r="G45" s="49">
        <f>'Kalkulace a Porovnání'!G45</f>
        <v>0</v>
      </c>
      <c r="H45" s="32">
        <f>'Kalkulace a Porovnání'!H45</f>
        <v>0</v>
      </c>
      <c r="K45" s="12" t="s">
        <v>64</v>
      </c>
      <c r="L45" s="13" t="s">
        <v>65</v>
      </c>
      <c r="M45" s="3" t="s">
        <v>66</v>
      </c>
      <c r="N45" s="49">
        <f>'Kalkulace a Porovnání'!N45</f>
        <v>0</v>
      </c>
      <c r="O45" s="49">
        <f>'Kalkulace a Porovnání'!O45</f>
        <v>0</v>
      </c>
      <c r="P45" s="49">
        <f>'Kalkulace a Porovnání'!P45</f>
        <v>0</v>
      </c>
      <c r="Q45" s="32">
        <f>'Kalkulace a Porovnání'!Q45</f>
        <v>0</v>
      </c>
      <c r="T45" s="12" t="s">
        <v>64</v>
      </c>
      <c r="U45" s="13" t="s">
        <v>65</v>
      </c>
      <c r="V45" s="3" t="s">
        <v>66</v>
      </c>
      <c r="W45" s="49">
        <f>'Kalkulace a Porovnání'!W45</f>
        <v>0</v>
      </c>
      <c r="X45" s="49">
        <f>'Kalkulace a Porovnání'!X45</f>
        <v>0</v>
      </c>
      <c r="Y45" s="49">
        <f>'Kalkulace a Porovnání'!Y45</f>
        <v>0</v>
      </c>
      <c r="Z45" s="49">
        <f>'Kalkulace a Porovnání'!Z45</f>
        <v>0</v>
      </c>
      <c r="AA45" s="49">
        <f>'Kalkulace a Porovnání'!AA45</f>
        <v>0</v>
      </c>
      <c r="AB45" s="32">
        <f>'Kalkulace a Porovnání'!AB45</f>
        <v>0</v>
      </c>
      <c r="AC45" s="183"/>
      <c r="AD45" s="547"/>
      <c r="AG45" s="972"/>
      <c r="AH45" s="972"/>
      <c r="AI45" s="342"/>
      <c r="AJ45" s="342"/>
      <c r="AK45" s="342"/>
    </row>
    <row r="46" spans="2:42" x14ac:dyDescent="0.25">
      <c r="B46" s="12" t="s">
        <v>67</v>
      </c>
      <c r="C46" s="13" t="s">
        <v>68</v>
      </c>
      <c r="D46" s="3" t="s">
        <v>66</v>
      </c>
      <c r="E46" s="49">
        <f>'Kalkulace a Porovnání'!E46</f>
        <v>0</v>
      </c>
      <c r="F46" s="49">
        <f>'Kalkulace a Porovnání'!F46</f>
        <v>0</v>
      </c>
      <c r="G46" s="49">
        <f>'Kalkulace a Porovnání'!G46</f>
        <v>0</v>
      </c>
      <c r="H46" s="32">
        <f>'Kalkulace a Porovnání'!H46</f>
        <v>0</v>
      </c>
      <c r="K46" s="12" t="s">
        <v>67</v>
      </c>
      <c r="L46" s="13" t="s">
        <v>68</v>
      </c>
      <c r="M46" s="3" t="s">
        <v>66</v>
      </c>
      <c r="N46" s="49">
        <f>'Kalkulace a Porovnání'!N46</f>
        <v>0</v>
      </c>
      <c r="O46" s="49">
        <f>'Kalkulace a Porovnání'!O46</f>
        <v>0</v>
      </c>
      <c r="P46" s="49">
        <f>'Kalkulace a Porovnání'!P46</f>
        <v>0</v>
      </c>
      <c r="Q46" s="32">
        <f>'Kalkulace a Porovnání'!Q46</f>
        <v>0</v>
      </c>
      <c r="T46" s="12" t="s">
        <v>67</v>
      </c>
      <c r="U46" s="13" t="s">
        <v>68</v>
      </c>
      <c r="V46" s="3" t="s">
        <v>66</v>
      </c>
      <c r="W46" s="49">
        <f>'Kalkulace a Porovnání'!W46</f>
        <v>0</v>
      </c>
      <c r="X46" s="49">
        <f>'Kalkulace a Porovnání'!X46</f>
        <v>0</v>
      </c>
      <c r="Y46" s="49">
        <f>'Kalkulace a Porovnání'!Y46</f>
        <v>0</v>
      </c>
      <c r="Z46" s="49">
        <f>'Kalkulace a Porovnání'!Z46</f>
        <v>0</v>
      </c>
      <c r="AA46" s="49">
        <f>'Kalkulace a Porovnání'!AA46</f>
        <v>0</v>
      </c>
      <c r="AB46" s="32">
        <f>'Kalkulace a Porovnání'!AB46</f>
        <v>0</v>
      </c>
      <c r="AC46" s="183"/>
      <c r="AD46" s="547"/>
      <c r="AG46" s="184"/>
      <c r="AH46" s="184"/>
      <c r="AI46" s="342"/>
      <c r="AJ46" s="342"/>
      <c r="AK46" s="342"/>
    </row>
    <row r="47" spans="2:42" x14ac:dyDescent="0.25">
      <c r="B47" s="12" t="s">
        <v>69</v>
      </c>
      <c r="C47" s="13" t="s">
        <v>70</v>
      </c>
      <c r="D47" s="3" t="s">
        <v>66</v>
      </c>
      <c r="E47" s="49">
        <f>'Kalkulace a Porovnání'!E47</f>
        <v>0</v>
      </c>
      <c r="F47" s="49">
        <f>'Kalkulace a Porovnání'!F47</f>
        <v>0</v>
      </c>
      <c r="G47" s="49">
        <f>'Kalkulace a Porovnání'!G47</f>
        <v>0</v>
      </c>
      <c r="H47" s="32">
        <f>'Kalkulace a Porovnání'!H47</f>
        <v>1.4E-2</v>
      </c>
      <c r="K47" s="12" t="s">
        <v>69</v>
      </c>
      <c r="L47" s="13" t="s">
        <v>70</v>
      </c>
      <c r="M47" s="3" t="s">
        <v>66</v>
      </c>
      <c r="N47" s="49">
        <f>'Kalkulace a Porovnání'!N47</f>
        <v>0</v>
      </c>
      <c r="O47" s="49">
        <f>'Kalkulace a Porovnání'!O47</f>
        <v>0</v>
      </c>
      <c r="P47" s="49">
        <f>'Kalkulace a Porovnání'!P47</f>
        <v>0</v>
      </c>
      <c r="Q47" s="32">
        <f>'Kalkulace a Porovnání'!Q47</f>
        <v>0</v>
      </c>
      <c r="T47" s="12" t="s">
        <v>69</v>
      </c>
      <c r="U47" s="13" t="s">
        <v>70</v>
      </c>
      <c r="V47" s="3" t="s">
        <v>66</v>
      </c>
      <c r="W47" s="49">
        <f>'Kalkulace a Porovnání'!W47</f>
        <v>0</v>
      </c>
      <c r="X47" s="49">
        <f>'Kalkulace a Porovnání'!X47</f>
        <v>0</v>
      </c>
      <c r="Y47" s="49">
        <f>'Kalkulace a Porovnání'!Y47</f>
        <v>0</v>
      </c>
      <c r="Z47" s="49">
        <f>'Kalkulace a Porovnání'!Z47</f>
        <v>0</v>
      </c>
      <c r="AA47" s="49">
        <f>'Kalkulace a Porovnání'!AA47</f>
        <v>1.4E-2</v>
      </c>
      <c r="AB47" s="32">
        <f>'Kalkulace a Porovnání'!AB47</f>
        <v>-1.4E-2</v>
      </c>
      <c r="AC47" s="183"/>
      <c r="AD47" s="547"/>
      <c r="AG47" s="549"/>
      <c r="AH47" s="549"/>
      <c r="AI47" s="342"/>
      <c r="AJ47" s="342"/>
      <c r="AK47" s="342"/>
    </row>
    <row r="48" spans="2:42" x14ac:dyDescent="0.25">
      <c r="B48" s="12" t="s">
        <v>71</v>
      </c>
      <c r="C48" s="13" t="s">
        <v>68</v>
      </c>
      <c r="D48" s="3" t="s">
        <v>66</v>
      </c>
      <c r="E48" s="49">
        <f>'Kalkulace a Porovnání'!E48</f>
        <v>0</v>
      </c>
      <c r="F48" s="49">
        <f>'Kalkulace a Porovnání'!F48</f>
        <v>0</v>
      </c>
      <c r="G48" s="49">
        <f>'Kalkulace a Porovnání'!G48</f>
        <v>0</v>
      </c>
      <c r="H48" s="32">
        <f>'Kalkulace a Porovnání'!H48</f>
        <v>7.4190000000000002E-3</v>
      </c>
      <c r="K48" s="12" t="s">
        <v>71</v>
      </c>
      <c r="L48" s="13" t="s">
        <v>68</v>
      </c>
      <c r="M48" s="3" t="s">
        <v>66</v>
      </c>
      <c r="N48" s="49">
        <f>'Kalkulace a Porovnání'!N48</f>
        <v>0</v>
      </c>
      <c r="O48" s="49">
        <f>'Kalkulace a Porovnání'!O48</f>
        <v>0</v>
      </c>
      <c r="P48" s="49">
        <f>'Kalkulace a Porovnání'!P48</f>
        <v>0</v>
      </c>
      <c r="Q48" s="32">
        <f>'Kalkulace a Porovnání'!Q48</f>
        <v>0</v>
      </c>
      <c r="T48" s="12" t="s">
        <v>71</v>
      </c>
      <c r="U48" s="13" t="s">
        <v>68</v>
      </c>
      <c r="V48" s="3" t="s">
        <v>66</v>
      </c>
      <c r="W48" s="49">
        <f>'Kalkulace a Porovnání'!W48</f>
        <v>0</v>
      </c>
      <c r="X48" s="49">
        <f>'Kalkulace a Porovnání'!X48</f>
        <v>0</v>
      </c>
      <c r="Y48" s="49">
        <f>'Kalkulace a Porovnání'!Y48</f>
        <v>0</v>
      </c>
      <c r="Z48" s="49">
        <f>'Kalkulace a Porovnání'!Z48</f>
        <v>0</v>
      </c>
      <c r="AA48" s="49">
        <f>'Kalkulace a Porovnání'!AA48</f>
        <v>7.4190000000000002E-3</v>
      </c>
      <c r="AB48" s="32">
        <f>'Kalkulace a Porovnání'!AB48</f>
        <v>-7.4190000000000002E-3</v>
      </c>
      <c r="AC48" s="183"/>
      <c r="AD48" s="547"/>
      <c r="AG48" s="546"/>
      <c r="AH48" s="546"/>
      <c r="AI48" s="342"/>
      <c r="AJ48" s="342"/>
      <c r="AK48" s="342"/>
    </row>
    <row r="49" spans="2:37" x14ac:dyDescent="0.25">
      <c r="B49" s="12" t="s">
        <v>72</v>
      </c>
      <c r="C49" s="13" t="s">
        <v>73</v>
      </c>
      <c r="D49" s="3" t="s">
        <v>66</v>
      </c>
      <c r="E49" s="49">
        <f>'Kalkulace a Porovnání'!E49</f>
        <v>0</v>
      </c>
      <c r="F49" s="49">
        <f>'Kalkulace a Porovnání'!F49</f>
        <v>0</v>
      </c>
      <c r="G49" s="49">
        <f>'Kalkulace a Porovnání'!G49</f>
        <v>0</v>
      </c>
      <c r="H49" s="32">
        <f>'Kalkulace a Porovnání'!H49</f>
        <v>0</v>
      </c>
      <c r="K49" s="12" t="s">
        <v>72</v>
      </c>
      <c r="L49" s="13" t="s">
        <v>73</v>
      </c>
      <c r="M49" s="3" t="s">
        <v>66</v>
      </c>
      <c r="N49" s="49">
        <f>'Kalkulace a Porovnání'!N49</f>
        <v>0</v>
      </c>
      <c r="O49" s="49">
        <f>'Kalkulace a Porovnání'!O49</f>
        <v>0</v>
      </c>
      <c r="P49" s="49">
        <f>'Kalkulace a Porovnání'!P49</f>
        <v>0</v>
      </c>
      <c r="Q49" s="32">
        <f>'Kalkulace a Porovnání'!Q49</f>
        <v>0</v>
      </c>
      <c r="T49" s="12" t="s">
        <v>72</v>
      </c>
      <c r="U49" s="13" t="s">
        <v>73</v>
      </c>
      <c r="V49" s="3" t="s">
        <v>66</v>
      </c>
      <c r="W49" s="49">
        <f>'Kalkulace a Porovnání'!W49</f>
        <v>0</v>
      </c>
      <c r="X49" s="49">
        <f>'Kalkulace a Porovnání'!X49</f>
        <v>0</v>
      </c>
      <c r="Y49" s="49">
        <f>'Kalkulace a Porovnání'!Y49</f>
        <v>0</v>
      </c>
      <c r="Z49" s="49">
        <f>'Kalkulace a Porovnání'!Z49</f>
        <v>0</v>
      </c>
      <c r="AA49" s="49">
        <f>'Kalkulace a Porovnání'!AA49</f>
        <v>0</v>
      </c>
      <c r="AB49" s="32">
        <f>'Kalkulace a Porovnání'!AB49</f>
        <v>0</v>
      </c>
      <c r="AC49" s="183"/>
      <c r="AD49" s="547"/>
      <c r="AG49" s="184"/>
      <c r="AH49" s="184"/>
      <c r="AI49" s="549"/>
      <c r="AJ49" s="549"/>
      <c r="AK49" s="342"/>
    </row>
    <row r="50" spans="2:37" x14ac:dyDescent="0.25">
      <c r="B50" s="12" t="s">
        <v>74</v>
      </c>
      <c r="C50" s="13" t="s">
        <v>75</v>
      </c>
      <c r="D50" s="3" t="s">
        <v>66</v>
      </c>
      <c r="E50" s="49">
        <f>'Kalkulace a Porovnání'!E50</f>
        <v>0</v>
      </c>
      <c r="F50" s="49">
        <f>'Kalkulace a Porovnání'!F50</f>
        <v>0</v>
      </c>
      <c r="G50" s="49">
        <f>'Kalkulace a Porovnání'!G50</f>
        <v>0</v>
      </c>
      <c r="H50" s="32">
        <f>'Kalkulace a Porovnání'!H50</f>
        <v>0</v>
      </c>
      <c r="K50" s="12" t="s">
        <v>74</v>
      </c>
      <c r="L50" s="13" t="s">
        <v>75</v>
      </c>
      <c r="M50" s="3" t="s">
        <v>66</v>
      </c>
      <c r="N50" s="49">
        <f>'Kalkulace a Porovnání'!N50</f>
        <v>0</v>
      </c>
      <c r="O50" s="49">
        <f>'Kalkulace a Porovnání'!O50</f>
        <v>0</v>
      </c>
      <c r="P50" s="49">
        <f>'Kalkulace a Porovnání'!P50</f>
        <v>0</v>
      </c>
      <c r="Q50" s="32">
        <f>'Kalkulace a Porovnání'!Q50</f>
        <v>0</v>
      </c>
      <c r="T50" s="12" t="s">
        <v>74</v>
      </c>
      <c r="U50" s="13" t="s">
        <v>75</v>
      </c>
      <c r="V50" s="3" t="s">
        <v>66</v>
      </c>
      <c r="W50" s="49">
        <f>'Kalkulace a Porovnání'!W50</f>
        <v>0</v>
      </c>
      <c r="X50" s="49">
        <f>'Kalkulace a Porovnání'!X50</f>
        <v>0</v>
      </c>
      <c r="Y50" s="49">
        <f>'Kalkulace a Porovnání'!Y50</f>
        <v>0</v>
      </c>
      <c r="Z50" s="49">
        <f>'Kalkulace a Porovnání'!Z50</f>
        <v>0</v>
      </c>
      <c r="AA50" s="49">
        <f>'Kalkulace a Porovnání'!AA50</f>
        <v>0</v>
      </c>
      <c r="AB50" s="32">
        <f>'Kalkulace a Porovnání'!AB50</f>
        <v>0</v>
      </c>
      <c r="AC50" s="183"/>
      <c r="AD50" s="547"/>
      <c r="AG50" s="184"/>
      <c r="AH50" s="184"/>
      <c r="AI50" s="549"/>
      <c r="AJ50" s="549"/>
      <c r="AK50" s="342"/>
    </row>
    <row r="51" spans="2:37" x14ac:dyDescent="0.25">
      <c r="B51" s="12" t="s">
        <v>76</v>
      </c>
      <c r="C51" s="13" t="s">
        <v>77</v>
      </c>
      <c r="D51" s="3" t="s">
        <v>66</v>
      </c>
      <c r="E51" s="49">
        <f>'Kalkulace a Porovnání'!E51</f>
        <v>0</v>
      </c>
      <c r="F51" s="49">
        <f>'Kalkulace a Porovnání'!F51</f>
        <v>0</v>
      </c>
      <c r="G51" s="49">
        <f>'Kalkulace a Porovnání'!G51</f>
        <v>0</v>
      </c>
      <c r="H51" s="32">
        <f>'Kalkulace a Porovnání'!H51</f>
        <v>0</v>
      </c>
      <c r="K51" s="12" t="s">
        <v>76</v>
      </c>
      <c r="L51" s="13" t="s">
        <v>77</v>
      </c>
      <c r="M51" s="3" t="s">
        <v>66</v>
      </c>
      <c r="N51" s="49">
        <f>'Kalkulace a Porovnání'!N51</f>
        <v>0</v>
      </c>
      <c r="O51" s="49">
        <f>'Kalkulace a Porovnání'!O51</f>
        <v>0</v>
      </c>
      <c r="P51" s="49">
        <f>'Kalkulace a Porovnání'!P51</f>
        <v>0</v>
      </c>
      <c r="Q51" s="32">
        <f>'Kalkulace a Porovnání'!Q51</f>
        <v>0</v>
      </c>
      <c r="T51" s="12" t="s">
        <v>76</v>
      </c>
      <c r="U51" s="13" t="s">
        <v>77</v>
      </c>
      <c r="V51" s="3" t="s">
        <v>66</v>
      </c>
      <c r="W51" s="49">
        <f>'Kalkulace a Porovnání'!W51</f>
        <v>0</v>
      </c>
      <c r="X51" s="49">
        <f>'Kalkulace a Porovnání'!X51</f>
        <v>0</v>
      </c>
      <c r="Y51" s="49">
        <f>'Kalkulace a Porovnání'!Y51</f>
        <v>0</v>
      </c>
      <c r="Z51" s="49">
        <f>'Kalkulace a Porovnání'!Z51</f>
        <v>0</v>
      </c>
      <c r="AA51" s="49">
        <f>'Kalkulace a Porovnání'!AA51</f>
        <v>0</v>
      </c>
      <c r="AB51" s="32">
        <f>'Kalkulace a Porovnání'!AB51</f>
        <v>0</v>
      </c>
      <c r="AC51" s="183"/>
      <c r="AD51" s="547"/>
      <c r="AG51" s="184"/>
      <c r="AH51" s="184"/>
      <c r="AI51" s="549"/>
      <c r="AJ51" s="549"/>
      <c r="AK51" s="342"/>
    </row>
    <row r="52" spans="2:37" x14ac:dyDescent="0.25">
      <c r="B52" s="12" t="s">
        <v>78</v>
      </c>
      <c r="C52" s="13" t="s">
        <v>79</v>
      </c>
      <c r="D52" s="3" t="s">
        <v>66</v>
      </c>
      <c r="E52" s="49">
        <f>'Kalkulace a Porovnání'!E52</f>
        <v>0</v>
      </c>
      <c r="F52" s="49">
        <f>'Kalkulace a Porovnání'!F52</f>
        <v>0</v>
      </c>
      <c r="G52" s="49">
        <f>'Kalkulace a Porovnání'!G52</f>
        <v>0</v>
      </c>
      <c r="H52" s="32">
        <f>'Kalkulace a Porovnání'!H52</f>
        <v>1.4E-2</v>
      </c>
      <c r="K52" s="12" t="s">
        <v>78</v>
      </c>
      <c r="L52" s="13" t="s">
        <v>79</v>
      </c>
      <c r="M52" s="3" t="s">
        <v>66</v>
      </c>
      <c r="N52" s="49">
        <f>'Kalkulace a Porovnání'!N52</f>
        <v>0</v>
      </c>
      <c r="O52" s="49">
        <f>'Kalkulace a Porovnání'!O52</f>
        <v>0</v>
      </c>
      <c r="P52" s="49">
        <f>'Kalkulace a Porovnání'!P52</f>
        <v>0</v>
      </c>
      <c r="Q52" s="32">
        <f>'Kalkulace a Porovnání'!Q52</f>
        <v>0</v>
      </c>
      <c r="T52" s="12" t="s">
        <v>78</v>
      </c>
      <c r="U52" s="13" t="s">
        <v>79</v>
      </c>
      <c r="V52" s="3" t="s">
        <v>66</v>
      </c>
      <c r="W52" s="49">
        <f>'Kalkulace a Porovnání'!W52</f>
        <v>0</v>
      </c>
      <c r="X52" s="49">
        <f>'Kalkulace a Porovnání'!X52</f>
        <v>0</v>
      </c>
      <c r="Y52" s="49">
        <f>'Kalkulace a Porovnání'!Y52</f>
        <v>0</v>
      </c>
      <c r="Z52" s="49">
        <f>'Kalkulace a Porovnání'!Z52</f>
        <v>0</v>
      </c>
      <c r="AA52" s="49">
        <f>'Kalkulace a Porovnání'!AA52</f>
        <v>1.4E-2</v>
      </c>
      <c r="AB52" s="32">
        <f>'Kalkulace a Porovnání'!AB52</f>
        <v>-1.4E-2</v>
      </c>
      <c r="AC52" s="183"/>
      <c r="AD52" s="547"/>
      <c r="AG52" s="421"/>
      <c r="AH52" s="421"/>
      <c r="AI52" s="342"/>
      <c r="AJ52" s="342"/>
      <c r="AK52" s="342"/>
    </row>
    <row r="53" spans="2:37" x14ac:dyDescent="0.25">
      <c r="B53" s="1"/>
      <c r="C53" s="1"/>
      <c r="D53" s="1"/>
      <c r="E53" s="1"/>
      <c r="F53" s="1"/>
      <c r="G53" s="1"/>
      <c r="H53" s="1"/>
      <c r="K53" s="1"/>
      <c r="L53" s="1"/>
      <c r="M53" s="1"/>
      <c r="N53" s="1"/>
      <c r="O53" s="1"/>
      <c r="P53" s="1"/>
      <c r="Q53" s="1"/>
      <c r="T53" s="1"/>
      <c r="U53" s="1"/>
      <c r="V53" s="1"/>
      <c r="W53" s="1"/>
      <c r="X53" s="1"/>
      <c r="Y53" s="1"/>
      <c r="Z53" s="1"/>
      <c r="AA53" s="1"/>
      <c r="AB53" s="1"/>
      <c r="AC53" s="183"/>
      <c r="AD53" s="547"/>
      <c r="AG53" s="547"/>
      <c r="AH53" s="547"/>
      <c r="AI53" s="342"/>
      <c r="AJ53" s="342"/>
      <c r="AK53" s="342"/>
    </row>
    <row r="54" spans="2:37" x14ac:dyDescent="0.25">
      <c r="B54" s="932" t="s">
        <v>5</v>
      </c>
      <c r="C54" s="721" t="s">
        <v>80</v>
      </c>
      <c r="D54" s="722"/>
      <c r="E54" s="723"/>
      <c r="F54" s="724"/>
      <c r="G54" s="722"/>
      <c r="H54" s="725"/>
      <c r="K54" s="932" t="s">
        <v>5</v>
      </c>
      <c r="L54" s="721" t="s">
        <v>80</v>
      </c>
      <c r="M54" s="722"/>
      <c r="N54" s="723"/>
      <c r="O54" s="724"/>
      <c r="P54" s="722"/>
      <c r="Q54" s="725"/>
      <c r="T54" s="771" t="s">
        <v>5</v>
      </c>
      <c r="U54" s="721" t="s">
        <v>80</v>
      </c>
      <c r="V54" s="722"/>
      <c r="W54" s="723"/>
      <c r="X54" s="723"/>
      <c r="Y54" s="724"/>
      <c r="Z54" s="722"/>
      <c r="AA54" s="722"/>
      <c r="AB54" s="725"/>
      <c r="AC54" s="183"/>
      <c r="AD54" s="547"/>
      <c r="AG54" s="547"/>
      <c r="AH54" s="547"/>
      <c r="AI54" s="342"/>
      <c r="AJ54" s="342"/>
      <c r="AK54" s="342"/>
    </row>
    <row r="55" spans="2:37" ht="20.25" customHeight="1" x14ac:dyDescent="0.25">
      <c r="B55" s="930"/>
      <c r="C55" s="932" t="s">
        <v>81</v>
      </c>
      <c r="D55" s="929" t="s">
        <v>173</v>
      </c>
      <c r="E55" s="874" t="s">
        <v>118</v>
      </c>
      <c r="F55" s="937"/>
      <c r="G55" s="26" t="s">
        <v>3</v>
      </c>
      <c r="H55" s="23" t="s">
        <v>4</v>
      </c>
      <c r="K55" s="930"/>
      <c r="L55" s="5" t="s">
        <v>81</v>
      </c>
      <c r="M55" s="929" t="s">
        <v>173</v>
      </c>
      <c r="N55" s="874" t="s">
        <v>118</v>
      </c>
      <c r="O55" s="937"/>
      <c r="P55" s="26" t="s">
        <v>3</v>
      </c>
      <c r="Q55" s="23" t="s">
        <v>4</v>
      </c>
      <c r="T55" s="934"/>
      <c r="U55" s="932" t="s">
        <v>81</v>
      </c>
      <c r="V55" s="929" t="s">
        <v>173</v>
      </c>
      <c r="W55" s="874" t="s">
        <v>118</v>
      </c>
      <c r="X55" s="937"/>
      <c r="Y55" s="874" t="s">
        <v>3</v>
      </c>
      <c r="Z55" s="939"/>
      <c r="AA55" s="940" t="s">
        <v>4</v>
      </c>
      <c r="AB55" s="940"/>
      <c r="AC55" s="183"/>
      <c r="AD55" s="547"/>
      <c r="AG55" s="547"/>
      <c r="AH55" s="547"/>
      <c r="AI55" s="342"/>
      <c r="AJ55" s="342"/>
      <c r="AK55" s="342"/>
    </row>
    <row r="56" spans="2:37" x14ac:dyDescent="0.25">
      <c r="B56" s="931"/>
      <c r="C56" s="931"/>
      <c r="D56" s="936"/>
      <c r="E56" s="875"/>
      <c r="F56" s="938"/>
      <c r="G56" s="27" t="s">
        <v>7</v>
      </c>
      <c r="H56" s="24" t="s">
        <v>7</v>
      </c>
      <c r="K56" s="931"/>
      <c r="L56" s="8"/>
      <c r="M56" s="936"/>
      <c r="N56" s="875"/>
      <c r="O56" s="938"/>
      <c r="P56" s="27" t="s">
        <v>7</v>
      </c>
      <c r="Q56" s="24" t="s">
        <v>7</v>
      </c>
      <c r="T56" s="935"/>
      <c r="U56" s="931"/>
      <c r="V56" s="936"/>
      <c r="W56" s="875"/>
      <c r="X56" s="938"/>
      <c r="Y56" s="40" t="s">
        <v>196</v>
      </c>
      <c r="Z56" s="40" t="s">
        <v>7</v>
      </c>
      <c r="AA56" s="40" t="s">
        <v>196</v>
      </c>
      <c r="AB56" s="40" t="s">
        <v>7</v>
      </c>
      <c r="AC56" s="183"/>
      <c r="AD56" s="547"/>
      <c r="AG56" s="547"/>
      <c r="AH56" s="547"/>
      <c r="AI56" s="342"/>
      <c r="AJ56" s="342"/>
      <c r="AK56" s="342"/>
    </row>
    <row r="57" spans="2:37" x14ac:dyDescent="0.25">
      <c r="B57" s="11">
        <v>1</v>
      </c>
      <c r="C57" s="11">
        <v>2</v>
      </c>
      <c r="D57" s="11" t="s">
        <v>111</v>
      </c>
      <c r="E57" s="735" t="s">
        <v>115</v>
      </c>
      <c r="F57" s="736"/>
      <c r="G57" s="11" t="s">
        <v>116</v>
      </c>
      <c r="H57" s="22" t="s">
        <v>117</v>
      </c>
      <c r="K57" s="11">
        <v>1</v>
      </c>
      <c r="L57" s="11">
        <v>2</v>
      </c>
      <c r="M57" s="11" t="s">
        <v>111</v>
      </c>
      <c r="N57" s="735" t="s">
        <v>115</v>
      </c>
      <c r="O57" s="736"/>
      <c r="P57" s="11" t="s">
        <v>116</v>
      </c>
      <c r="Q57" s="22" t="s">
        <v>117</v>
      </c>
      <c r="T57" s="11">
        <v>1</v>
      </c>
      <c r="U57" s="11">
        <v>2</v>
      </c>
      <c r="V57" s="11" t="s">
        <v>111</v>
      </c>
      <c r="W57" s="944" t="s">
        <v>115</v>
      </c>
      <c r="X57" s="945"/>
      <c r="Y57" s="11" t="s">
        <v>201</v>
      </c>
      <c r="Z57" s="11" t="s">
        <v>116</v>
      </c>
      <c r="AA57" s="11" t="s">
        <v>200</v>
      </c>
      <c r="AB57" s="22" t="s">
        <v>117</v>
      </c>
      <c r="AC57" s="183"/>
      <c r="AD57" s="547"/>
      <c r="AG57" s="547"/>
      <c r="AH57" s="547"/>
      <c r="AI57" s="342"/>
      <c r="AJ57" s="342"/>
      <c r="AK57" s="342"/>
    </row>
    <row r="58" spans="2:37" x14ac:dyDescent="0.25">
      <c r="B58" s="12" t="s">
        <v>82</v>
      </c>
      <c r="C58" s="13" t="s">
        <v>127</v>
      </c>
      <c r="D58" s="13" t="s">
        <v>83</v>
      </c>
      <c r="E58" s="732" t="s">
        <v>120</v>
      </c>
      <c r="F58" s="733"/>
      <c r="G58" s="172">
        <f>'Kalkulace a Porovnání'!G58</f>
        <v>0</v>
      </c>
      <c r="H58" s="172">
        <f>'Kalkulace a Porovnání'!H58</f>
        <v>30.714285714285712</v>
      </c>
      <c r="K58" s="12" t="s">
        <v>82</v>
      </c>
      <c r="L58" s="13" t="s">
        <v>127</v>
      </c>
      <c r="M58" s="13" t="s">
        <v>83</v>
      </c>
      <c r="N58" s="732" t="s">
        <v>120</v>
      </c>
      <c r="O58" s="733"/>
      <c r="P58" s="172">
        <f>'Kalkulace a Porovnání'!P58</f>
        <v>0</v>
      </c>
      <c r="Q58" s="172">
        <f>'Kalkulace a Porovnání'!Q58</f>
        <v>0</v>
      </c>
      <c r="T58" s="12" t="s">
        <v>82</v>
      </c>
      <c r="U58" s="13" t="s">
        <v>127</v>
      </c>
      <c r="V58" s="13" t="s">
        <v>83</v>
      </c>
      <c r="W58" s="13" t="s">
        <v>120</v>
      </c>
      <c r="X58" s="101"/>
      <c r="Y58" s="172">
        <f>'Kalkulace a Porovnání'!Y58</f>
        <v>0</v>
      </c>
      <c r="Z58" s="172">
        <f>'Kalkulace a Porovnání'!Z58</f>
        <v>0</v>
      </c>
      <c r="AA58" s="172">
        <f>'Kalkulace a Porovnání'!AA58</f>
        <v>0</v>
      </c>
      <c r="AB58" s="172">
        <f>'Kalkulace a Porovnání'!AB58</f>
        <v>30.714285714285712</v>
      </c>
      <c r="AC58" s="183"/>
      <c r="AD58" s="547"/>
      <c r="AG58" s="547"/>
      <c r="AH58" s="547"/>
      <c r="AI58" s="342"/>
      <c r="AJ58" s="342"/>
      <c r="AK58" s="342"/>
    </row>
    <row r="59" spans="2:37" x14ac:dyDescent="0.25">
      <c r="B59" s="12" t="s">
        <v>84</v>
      </c>
      <c r="C59" s="13" t="s">
        <v>85</v>
      </c>
      <c r="D59" s="13" t="s">
        <v>10</v>
      </c>
      <c r="E59" s="732" t="s">
        <v>121</v>
      </c>
      <c r="F59" s="733"/>
      <c r="G59" s="449">
        <f>'Kalkulace a Porovnání'!G59</f>
        <v>0</v>
      </c>
      <c r="H59" s="449">
        <f>'Kalkulace a Porovnání'!H59</f>
        <v>0.43</v>
      </c>
      <c r="K59" s="12" t="s">
        <v>84</v>
      </c>
      <c r="L59" s="13" t="s">
        <v>85</v>
      </c>
      <c r="M59" s="13" t="s">
        <v>10</v>
      </c>
      <c r="N59" s="732" t="s">
        <v>121</v>
      </c>
      <c r="O59" s="733"/>
      <c r="P59" s="449">
        <f>'Kalkulace a Porovnání'!P59</f>
        <v>0</v>
      </c>
      <c r="Q59" s="449">
        <f>'Kalkulace a Porovnání'!Q59</f>
        <v>0</v>
      </c>
      <c r="T59" s="12" t="s">
        <v>84</v>
      </c>
      <c r="U59" s="13" t="s">
        <v>85</v>
      </c>
      <c r="V59" s="13" t="s">
        <v>10</v>
      </c>
      <c r="W59" s="13" t="s">
        <v>121</v>
      </c>
      <c r="X59" s="101"/>
      <c r="Y59" s="449">
        <f>'Kalkulace a Porovnání'!Y59</f>
        <v>0</v>
      </c>
      <c r="Z59" s="449">
        <f>'Kalkulace a Porovnání'!Z59</f>
        <v>0</v>
      </c>
      <c r="AA59" s="449">
        <f>'Kalkulace a Porovnání'!AA59</f>
        <v>0</v>
      </c>
      <c r="AB59" s="449">
        <f>'Kalkulace a Porovnání'!AB59</f>
        <v>0.43</v>
      </c>
      <c r="AC59" s="183"/>
      <c r="AD59" s="547"/>
      <c r="AG59" s="547"/>
      <c r="AH59" s="547"/>
      <c r="AI59" s="342"/>
      <c r="AJ59" s="342"/>
      <c r="AK59" s="342"/>
    </row>
    <row r="60" spans="2:37" x14ac:dyDescent="0.25">
      <c r="B60" s="12" t="s">
        <v>86</v>
      </c>
      <c r="C60" s="13" t="s">
        <v>87</v>
      </c>
      <c r="D60" s="13" t="s">
        <v>10</v>
      </c>
      <c r="E60" s="732"/>
      <c r="F60" s="733"/>
      <c r="G60" s="449">
        <f>'Kalkulace a Porovnání'!G60</f>
        <v>0</v>
      </c>
      <c r="H60" s="449">
        <f ca="1">'Kalkulace a Porovnání'!H60</f>
        <v>7.758654207907981E-3</v>
      </c>
      <c r="K60" s="12" t="s">
        <v>86</v>
      </c>
      <c r="L60" s="13" t="s">
        <v>87</v>
      </c>
      <c r="M60" s="13" t="s">
        <v>10</v>
      </c>
      <c r="N60" s="732"/>
      <c r="O60" s="733"/>
      <c r="P60" s="449">
        <f>'Kalkulace a Porovnání'!P60</f>
        <v>0</v>
      </c>
      <c r="Q60" s="449">
        <f>'Kalkulace a Porovnání'!Q60</f>
        <v>0</v>
      </c>
      <c r="T60" s="12" t="s">
        <v>86</v>
      </c>
      <c r="U60" s="13" t="s">
        <v>87</v>
      </c>
      <c r="V60" s="13" t="s">
        <v>10</v>
      </c>
      <c r="W60" s="13"/>
      <c r="X60" s="101"/>
      <c r="Y60" s="449">
        <f>'Kalkulace a Porovnání'!Y60</f>
        <v>0</v>
      </c>
      <c r="Z60" s="449">
        <f>'Kalkulace a Porovnání'!Z60</f>
        <v>0</v>
      </c>
      <c r="AA60" s="449">
        <f>'Kalkulace a Porovnání'!AA60</f>
        <v>0</v>
      </c>
      <c r="AB60" s="449">
        <f ca="1">'Kalkulace a Porovnání'!AB60</f>
        <v>7.758654207907981E-3</v>
      </c>
      <c r="AC60" s="183"/>
      <c r="AD60" s="547"/>
      <c r="AG60" s="547"/>
      <c r="AH60" s="547"/>
      <c r="AI60" s="342"/>
      <c r="AJ60" s="342"/>
      <c r="AK60" s="342"/>
    </row>
    <row r="61" spans="2:37" x14ac:dyDescent="0.25">
      <c r="B61" s="12" t="s">
        <v>88</v>
      </c>
      <c r="C61" s="21" t="s">
        <v>89</v>
      </c>
      <c r="D61" s="13" t="s">
        <v>90</v>
      </c>
      <c r="E61" s="732" t="s">
        <v>123</v>
      </c>
      <c r="F61" s="733"/>
      <c r="G61" s="172">
        <f>'Kalkulace a Porovnání'!G61</f>
        <v>0</v>
      </c>
      <c r="H61" s="172">
        <f ca="1">'Kalkulace a Porovnání'!H61</f>
        <v>1.8043381878855771</v>
      </c>
      <c r="K61" s="12" t="s">
        <v>88</v>
      </c>
      <c r="L61" s="21" t="s">
        <v>89</v>
      </c>
      <c r="M61" s="13" t="s">
        <v>90</v>
      </c>
      <c r="N61" s="732" t="s">
        <v>123</v>
      </c>
      <c r="O61" s="733"/>
      <c r="P61" s="172">
        <f>'Kalkulace a Porovnání'!P61</f>
        <v>0</v>
      </c>
      <c r="Q61" s="172">
        <f>'Kalkulace a Porovnání'!Q61</f>
        <v>0</v>
      </c>
      <c r="T61" s="12" t="s">
        <v>88</v>
      </c>
      <c r="U61" s="21" t="s">
        <v>89</v>
      </c>
      <c r="V61" s="13" t="s">
        <v>90</v>
      </c>
      <c r="W61" s="13" t="s">
        <v>123</v>
      </c>
      <c r="X61" s="101"/>
      <c r="Y61" s="172">
        <f>'Kalkulace a Porovnání'!Y61</f>
        <v>0</v>
      </c>
      <c r="Z61" s="172">
        <f>'Kalkulace a Porovnání'!Z61</f>
        <v>0</v>
      </c>
      <c r="AA61" s="172">
        <f>'Kalkulace a Porovnání'!AA61</f>
        <v>0</v>
      </c>
      <c r="AB61" s="172">
        <f ca="1">'Kalkulace a Porovnání'!AB61</f>
        <v>1.8043381878855771</v>
      </c>
      <c r="AC61" s="183"/>
      <c r="AD61" s="547"/>
      <c r="AG61" s="547"/>
      <c r="AH61" s="547"/>
      <c r="AI61" s="342"/>
      <c r="AJ61" s="342"/>
      <c r="AK61" s="342"/>
    </row>
    <row r="62" spans="2:37" x14ac:dyDescent="0.25">
      <c r="B62" s="12" t="s">
        <v>91</v>
      </c>
      <c r="C62" s="21" t="s">
        <v>92</v>
      </c>
      <c r="D62" s="13" t="s">
        <v>10</v>
      </c>
      <c r="E62" s="732"/>
      <c r="F62" s="733"/>
      <c r="G62" s="449">
        <f>'Kalkulace a Porovnání'!G62</f>
        <v>0</v>
      </c>
      <c r="H62" s="449">
        <f>'Kalkulace a Porovnání'!H62</f>
        <v>0</v>
      </c>
      <c r="K62" s="12" t="s">
        <v>91</v>
      </c>
      <c r="L62" s="21" t="s">
        <v>92</v>
      </c>
      <c r="M62" s="13" t="s">
        <v>10</v>
      </c>
      <c r="N62" s="732"/>
      <c r="O62" s="733"/>
      <c r="P62" s="449">
        <f>'Kalkulace a Porovnání'!P62</f>
        <v>0</v>
      </c>
      <c r="Q62" s="449">
        <f>'Kalkulace a Porovnání'!Q62</f>
        <v>0</v>
      </c>
      <c r="T62" s="12" t="s">
        <v>91</v>
      </c>
      <c r="U62" s="21" t="s">
        <v>92</v>
      </c>
      <c r="V62" s="13" t="s">
        <v>10</v>
      </c>
      <c r="W62" s="13"/>
      <c r="X62" s="101"/>
      <c r="Y62" s="449">
        <f>'Kalkulace a Porovnání'!Y62</f>
        <v>0</v>
      </c>
      <c r="Z62" s="449">
        <f>'Kalkulace a Porovnání'!Z62</f>
        <v>0</v>
      </c>
      <c r="AA62" s="449">
        <f>'Kalkulace a Porovnání'!AA62</f>
        <v>0</v>
      </c>
      <c r="AB62" s="449">
        <f>'Kalkulace a Porovnání'!AB62</f>
        <v>0</v>
      </c>
      <c r="AC62" s="183"/>
      <c r="AD62" s="547"/>
      <c r="AG62" s="547"/>
      <c r="AH62" s="547"/>
      <c r="AI62" s="342"/>
      <c r="AJ62" s="342"/>
      <c r="AK62" s="342"/>
    </row>
    <row r="63" spans="2:37" x14ac:dyDescent="0.25">
      <c r="B63" s="12" t="s">
        <v>93</v>
      </c>
      <c r="C63" s="13" t="s">
        <v>94</v>
      </c>
      <c r="D63" s="13" t="s">
        <v>10</v>
      </c>
      <c r="E63" s="732" t="s">
        <v>122</v>
      </c>
      <c r="F63" s="733"/>
      <c r="G63" s="449">
        <f>'Kalkulace a Porovnání'!G63</f>
        <v>0</v>
      </c>
      <c r="H63" s="449">
        <f ca="1">'Kalkulace a Porovnání'!H63</f>
        <v>0.43775865420790799</v>
      </c>
      <c r="K63" s="12" t="s">
        <v>93</v>
      </c>
      <c r="L63" s="13" t="s">
        <v>94</v>
      </c>
      <c r="M63" s="13" t="s">
        <v>10</v>
      </c>
      <c r="N63" s="732" t="s">
        <v>122</v>
      </c>
      <c r="O63" s="733"/>
      <c r="P63" s="449">
        <f>'Kalkulace a Porovnání'!P63</f>
        <v>0</v>
      </c>
      <c r="Q63" s="449">
        <f>'Kalkulace a Porovnání'!Q63</f>
        <v>0</v>
      </c>
      <c r="T63" s="12" t="s">
        <v>93</v>
      </c>
      <c r="U63" s="13" t="s">
        <v>94</v>
      </c>
      <c r="V63" s="13" t="s">
        <v>10</v>
      </c>
      <c r="W63" s="13" t="s">
        <v>122</v>
      </c>
      <c r="X63" s="101"/>
      <c r="Y63" s="449">
        <f>'Kalkulace a Porovnání'!Y63</f>
        <v>0</v>
      </c>
      <c r="Z63" s="449">
        <f>'Kalkulace a Porovnání'!Z63</f>
        <v>0</v>
      </c>
      <c r="AA63" s="449">
        <f>'Kalkulace a Porovnání'!AA63</f>
        <v>0</v>
      </c>
      <c r="AB63" s="449">
        <f ca="1">'Kalkulace a Porovnání'!AB63</f>
        <v>0.43775865420790799</v>
      </c>
      <c r="AC63" s="183"/>
      <c r="AD63" s="547"/>
      <c r="AG63" s="547"/>
      <c r="AH63" s="547"/>
      <c r="AI63" s="342"/>
      <c r="AJ63" s="342"/>
      <c r="AK63" s="342"/>
    </row>
    <row r="64" spans="2:37" x14ac:dyDescent="0.25">
      <c r="B64" s="12" t="s">
        <v>95</v>
      </c>
      <c r="C64" s="13" t="s">
        <v>96</v>
      </c>
      <c r="D64" s="13" t="s">
        <v>66</v>
      </c>
      <c r="E64" s="732" t="s">
        <v>124</v>
      </c>
      <c r="F64" s="733"/>
      <c r="G64" s="449">
        <f>'Kalkulace a Porovnání'!G64</f>
        <v>0</v>
      </c>
      <c r="H64" s="449">
        <f>'Kalkulace a Porovnání'!H64</f>
        <v>1.4E-2</v>
      </c>
      <c r="K64" s="12" t="s">
        <v>95</v>
      </c>
      <c r="L64" s="13" t="s">
        <v>96</v>
      </c>
      <c r="M64" s="13" t="s">
        <v>66</v>
      </c>
      <c r="N64" s="732" t="s">
        <v>124</v>
      </c>
      <c r="O64" s="733"/>
      <c r="P64" s="449">
        <f>'Kalkulace a Porovnání'!P64</f>
        <v>0</v>
      </c>
      <c r="Q64" s="449">
        <f>'Kalkulace a Porovnání'!Q64</f>
        <v>0</v>
      </c>
      <c r="T64" s="12" t="s">
        <v>95</v>
      </c>
      <c r="U64" s="13" t="s">
        <v>96</v>
      </c>
      <c r="V64" s="13" t="s">
        <v>66</v>
      </c>
      <c r="W64" s="13" t="s">
        <v>124</v>
      </c>
      <c r="X64" s="101"/>
      <c r="Y64" s="449">
        <f>'Kalkulace a Porovnání'!Y64</f>
        <v>0</v>
      </c>
      <c r="Z64" s="449">
        <f>'Kalkulace a Porovnání'!Z64</f>
        <v>0</v>
      </c>
      <c r="AA64" s="449">
        <f>'Kalkulace a Porovnání'!AA64</f>
        <v>0</v>
      </c>
      <c r="AB64" s="449">
        <f>'Kalkulace a Porovnání'!AB64</f>
        <v>1.4E-2</v>
      </c>
      <c r="AC64" s="183"/>
      <c r="AD64" s="547"/>
      <c r="AG64" s="547"/>
      <c r="AH64" s="547"/>
      <c r="AI64" s="342"/>
      <c r="AJ64" s="342"/>
      <c r="AK64" s="342"/>
    </row>
    <row r="65" spans="2:38" x14ac:dyDescent="0.25">
      <c r="B65" s="12" t="s">
        <v>97</v>
      </c>
      <c r="C65" s="13" t="s">
        <v>98</v>
      </c>
      <c r="D65" s="13" t="s">
        <v>83</v>
      </c>
      <c r="E65" s="732" t="s">
        <v>125</v>
      </c>
      <c r="F65" s="733"/>
      <c r="G65" s="172">
        <f>'Kalkulace a Porovnání'!G65</f>
        <v>0</v>
      </c>
      <c r="H65" s="172">
        <f ca="1">'Kalkulace a Porovnání'!H65</f>
        <v>31.268475300564855</v>
      </c>
      <c r="K65" s="12" t="s">
        <v>97</v>
      </c>
      <c r="L65" s="13" t="s">
        <v>98</v>
      </c>
      <c r="M65" s="13" t="s">
        <v>83</v>
      </c>
      <c r="N65" s="732" t="s">
        <v>125</v>
      </c>
      <c r="O65" s="733"/>
      <c r="P65" s="172">
        <f>'Kalkulace a Porovnání'!P65</f>
        <v>0</v>
      </c>
      <c r="Q65" s="172">
        <f>'Kalkulace a Porovnání'!Q65</f>
        <v>0</v>
      </c>
      <c r="T65" s="12" t="s">
        <v>97</v>
      </c>
      <c r="U65" s="13" t="s">
        <v>98</v>
      </c>
      <c r="V65" s="13" t="s">
        <v>83</v>
      </c>
      <c r="W65" s="13" t="s">
        <v>125</v>
      </c>
      <c r="X65" s="101"/>
      <c r="Y65" s="172">
        <f>'Kalkulace a Porovnání'!Y65</f>
        <v>0</v>
      </c>
      <c r="Z65" s="172">
        <f>'Kalkulace a Porovnání'!Z65</f>
        <v>0</v>
      </c>
      <c r="AA65" s="172">
        <f>'Kalkulace a Porovnání'!AA65</f>
        <v>0</v>
      </c>
      <c r="AB65" s="172">
        <f ca="1">'Kalkulace a Porovnání'!AB65</f>
        <v>31.268475300564855</v>
      </c>
      <c r="AC65" s="183"/>
      <c r="AD65" s="547"/>
      <c r="AG65" s="547"/>
      <c r="AH65" s="547"/>
      <c r="AI65" s="342"/>
      <c r="AJ65" s="342"/>
      <c r="AK65" s="342"/>
    </row>
    <row r="66" spans="2:38" x14ac:dyDescent="0.25">
      <c r="B66" s="12" t="s">
        <v>99</v>
      </c>
      <c r="C66" s="13" t="str">
        <f>CONCATENATE("CENA pro vodné, stočné + ",Provozování!E93*100,"% DPH")</f>
        <v>CENA pro vodné, stočné + 15% DPH</v>
      </c>
      <c r="D66" s="13" t="s">
        <v>83</v>
      </c>
      <c r="E66" s="732" t="s">
        <v>126</v>
      </c>
      <c r="F66" s="733"/>
      <c r="G66" s="172">
        <f>'Kalkulace a Porovnání'!G66</f>
        <v>0</v>
      </c>
      <c r="H66" s="172">
        <f ca="1">'Kalkulace a Porovnání'!H66</f>
        <v>35.958746595649579</v>
      </c>
      <c r="K66" s="12" t="s">
        <v>99</v>
      </c>
      <c r="L66" s="13" t="str">
        <f>C66</f>
        <v>CENA pro vodné, stočné + 15% DPH</v>
      </c>
      <c r="M66" s="13" t="s">
        <v>83</v>
      </c>
      <c r="N66" s="732" t="s">
        <v>126</v>
      </c>
      <c r="O66" s="733"/>
      <c r="P66" s="172">
        <f>'Kalkulace a Porovnání'!P66</f>
        <v>0</v>
      </c>
      <c r="Q66" s="172">
        <f>'Kalkulace a Porovnání'!Q66</f>
        <v>0</v>
      </c>
      <c r="T66" s="12" t="s">
        <v>99</v>
      </c>
      <c r="U66" s="13" t="str">
        <f>C66</f>
        <v>CENA pro vodné, stočné + 15% DPH</v>
      </c>
      <c r="V66" s="13" t="s">
        <v>83</v>
      </c>
      <c r="W66" s="13" t="s">
        <v>126</v>
      </c>
      <c r="X66" s="101"/>
      <c r="Y66" s="172">
        <f>'Kalkulace a Porovnání'!Y66</f>
        <v>0</v>
      </c>
      <c r="Z66" s="172">
        <f>'Kalkulace a Porovnání'!Z66</f>
        <v>0</v>
      </c>
      <c r="AA66" s="172">
        <f>'Kalkulace a Porovnání'!AA66</f>
        <v>0</v>
      </c>
      <c r="AB66" s="172">
        <f ca="1">'Kalkulace a Porovnání'!AB66</f>
        <v>35.958746595649579</v>
      </c>
      <c r="AC66" s="183"/>
      <c r="AD66" s="547"/>
      <c r="AG66" s="547"/>
      <c r="AH66" s="547"/>
      <c r="AI66" s="342"/>
      <c r="AJ66" s="342"/>
      <c r="AK66" s="342"/>
    </row>
    <row r="67" spans="2:38" ht="15" customHeight="1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T67" s="967" t="s">
        <v>203</v>
      </c>
      <c r="U67" s="967" t="s">
        <v>202</v>
      </c>
      <c r="V67" s="968" t="s">
        <v>10</v>
      </c>
      <c r="W67" s="919" t="s">
        <v>204</v>
      </c>
      <c r="X67" s="732"/>
      <c r="Y67" s="102" t="s">
        <v>206</v>
      </c>
      <c r="Z67" s="105" t="s">
        <v>207</v>
      </c>
      <c r="AA67" s="102" t="s">
        <v>206</v>
      </c>
      <c r="AB67" s="105" t="s">
        <v>207</v>
      </c>
      <c r="AC67" s="183"/>
      <c r="AD67" s="547"/>
      <c r="AG67" s="547"/>
      <c r="AH67" s="547"/>
      <c r="AI67" s="342"/>
      <c r="AJ67" s="342"/>
      <c r="AK67" s="342"/>
    </row>
    <row r="68" spans="2:38" x14ac:dyDescent="0.25">
      <c r="B68" s="500"/>
      <c r="C68" s="499"/>
      <c r="D68" s="499"/>
      <c r="E68" s="499"/>
      <c r="F68" s="499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T68" s="967"/>
      <c r="U68" s="967"/>
      <c r="V68" s="968"/>
      <c r="W68" s="969">
        <f>'Kalkulace a Porovnání'!W68</f>
        <v>0</v>
      </c>
      <c r="X68" s="970"/>
      <c r="Y68" s="103">
        <f>'Kalkulace a Porovnání'!Y68</f>
        <v>2020</v>
      </c>
      <c r="Z68" s="103">
        <f>'Kalkulace a Porovnání'!Z68</f>
        <v>2020</v>
      </c>
      <c r="AA68" s="103">
        <f>'Kalkulace a Porovnání'!AA68</f>
        <v>2020</v>
      </c>
      <c r="AB68" s="103">
        <f>'Kalkulace a Porovnání'!AB68</f>
        <v>2020</v>
      </c>
      <c r="AC68" s="183"/>
      <c r="AD68" s="547"/>
      <c r="AG68" s="547"/>
      <c r="AH68" s="547"/>
      <c r="AI68" s="342"/>
      <c r="AJ68" s="342"/>
      <c r="AK68" s="342"/>
    </row>
    <row r="69" spans="2:38" x14ac:dyDescent="0.25">
      <c r="B69" s="500"/>
      <c r="C69" s="499"/>
      <c r="D69" s="499"/>
      <c r="E69" s="499"/>
      <c r="F69" s="499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T69" s="967"/>
      <c r="U69" s="967"/>
      <c r="V69" s="968"/>
      <c r="W69" s="919" t="s">
        <v>205</v>
      </c>
      <c r="X69" s="732"/>
      <c r="Y69" s="104" t="s">
        <v>208</v>
      </c>
      <c r="Z69" s="104" t="s">
        <v>208</v>
      </c>
      <c r="AA69" s="104" t="s">
        <v>209</v>
      </c>
      <c r="AB69" s="104" t="s">
        <v>209</v>
      </c>
      <c r="AC69" s="183"/>
      <c r="AD69" s="547"/>
      <c r="AG69" s="547"/>
      <c r="AH69" s="547"/>
      <c r="AI69" s="342"/>
      <c r="AJ69" s="342"/>
      <c r="AK69" s="342"/>
    </row>
    <row r="70" spans="2:38" x14ac:dyDescent="0.25">
      <c r="B70" s="499"/>
      <c r="C70" s="499"/>
      <c r="D70" s="499"/>
      <c r="E70" s="499"/>
      <c r="F70" s="499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T70" s="967"/>
      <c r="U70" s="967"/>
      <c r="V70" s="968"/>
      <c r="W70" s="971">
        <f>'Kalkulace a Porovnání'!W70</f>
        <v>0</v>
      </c>
      <c r="X70" s="971"/>
      <c r="Y70" s="449">
        <f>'Kalkulace a Porovnání'!Y70</f>
        <v>0</v>
      </c>
      <c r="Z70" s="449">
        <f>'Kalkulace a Porovnání'!Z70</f>
        <v>0</v>
      </c>
      <c r="AA70" s="449">
        <f>'Kalkulace a Porovnání'!AA70</f>
        <v>0</v>
      </c>
      <c r="AB70" s="449">
        <f>'Kalkulace a Porovnání'!AB70</f>
        <v>0</v>
      </c>
      <c r="AC70" s="183"/>
      <c r="AD70" s="547"/>
      <c r="AG70" s="547"/>
      <c r="AH70" s="547"/>
      <c r="AI70" s="342"/>
      <c r="AJ70" s="342"/>
      <c r="AK70" s="342"/>
    </row>
    <row r="71" spans="2:38" x14ac:dyDescent="0.25">
      <c r="B71" s="31"/>
      <c r="AC71" s="183"/>
      <c r="AD71" s="547"/>
      <c r="AG71" s="547"/>
      <c r="AH71" s="547"/>
      <c r="AI71" s="342"/>
      <c r="AJ71" s="342"/>
      <c r="AK71" s="342"/>
    </row>
    <row r="72" spans="2:38" x14ac:dyDescent="0.25">
      <c r="B72" s="726" t="s">
        <v>393</v>
      </c>
      <c r="C72" s="727"/>
      <c r="D72" s="727"/>
      <c r="E72" s="727"/>
      <c r="F72" s="727"/>
      <c r="G72" s="727"/>
      <c r="H72" s="727"/>
      <c r="K72" s="726" t="s">
        <v>394</v>
      </c>
      <c r="L72" s="727"/>
      <c r="M72" s="727"/>
      <c r="N72" s="727"/>
      <c r="O72" s="727"/>
      <c r="P72" s="727"/>
      <c r="Q72" s="727"/>
      <c r="T72" s="726" t="s">
        <v>210</v>
      </c>
      <c r="U72" s="727"/>
      <c r="V72" s="727"/>
      <c r="W72" s="727"/>
      <c r="X72" s="727"/>
      <c r="Y72" s="727"/>
      <c r="Z72" s="727"/>
      <c r="AA72" s="727"/>
      <c r="AB72" s="727"/>
      <c r="AC72" s="183"/>
      <c r="AD72" s="547"/>
      <c r="AG72" s="550"/>
      <c r="AH72" s="550"/>
      <c r="AI72" s="342"/>
      <c r="AJ72" s="342"/>
      <c r="AK72" s="342"/>
    </row>
    <row r="73" spans="2:38" x14ac:dyDescent="0.25">
      <c r="C73" s="362"/>
      <c r="E73" s="25"/>
      <c r="F73" s="25"/>
      <c r="L73" s="25"/>
      <c r="N73" s="25"/>
      <c r="T73" s="950" t="s">
        <v>395</v>
      </c>
      <c r="U73" s="950"/>
      <c r="V73" s="950"/>
      <c r="W73" s="950"/>
      <c r="X73" s="950"/>
      <c r="Y73" s="950"/>
      <c r="Z73" s="950"/>
      <c r="AA73" s="950"/>
      <c r="AB73" s="950"/>
      <c r="AC73" s="183"/>
      <c r="AD73" s="547"/>
      <c r="AG73" s="547"/>
      <c r="AH73" s="547"/>
      <c r="AI73" s="342"/>
      <c r="AJ73" s="342"/>
      <c r="AK73" s="342"/>
    </row>
    <row r="74" spans="2:38" x14ac:dyDescent="0.25">
      <c r="C74" s="362" t="s">
        <v>119</v>
      </c>
      <c r="D74" s="364">
        <f>'Kalkulace a Porovnání'!D74</f>
        <v>2021</v>
      </c>
      <c r="E74" s="25"/>
      <c r="F74" s="362" t="s">
        <v>278</v>
      </c>
      <c r="G74" s="365">
        <f>'Kalkulace a Porovnání'!G74</f>
        <v>44197</v>
      </c>
      <c r="H74" s="365" t="str">
        <f>'Kalkulace a Porovnání'!H74</f>
        <v>- 31.12.2021</v>
      </c>
      <c r="L74" s="362" t="s">
        <v>119</v>
      </c>
      <c r="M74" s="364">
        <f>'Kalkulace a Porovnání'!M74</f>
        <v>2021</v>
      </c>
      <c r="O74" s="362" t="s">
        <v>278</v>
      </c>
      <c r="P74" s="365" t="str">
        <f>'Kalkulace a Porovnání'!P74</f>
        <v>-</v>
      </c>
      <c r="Q74" s="365" t="str">
        <f>'Kalkulace a Porovnání'!Q74</f>
        <v xml:space="preserve"> </v>
      </c>
      <c r="T74" s="441"/>
      <c r="U74" s="441"/>
      <c r="V74" s="451" t="s">
        <v>195</v>
      </c>
      <c r="W74" s="364">
        <f>'Kalkulace a Porovnání'!W74</f>
        <v>2021</v>
      </c>
      <c r="Z74" s="362" t="s">
        <v>278</v>
      </c>
      <c r="AA74" s="365">
        <f>'Kalkulace a Porovnání'!AA74</f>
        <v>44197</v>
      </c>
      <c r="AB74" s="365" t="str">
        <f>'Kalkulace a Porovnání'!AB74</f>
        <v>- 31.12.2021</v>
      </c>
      <c r="AC74" s="183"/>
      <c r="AD74" s="547"/>
      <c r="AG74" s="547"/>
      <c r="AH74" s="547"/>
      <c r="AI74" s="342"/>
      <c r="AJ74" s="342"/>
      <c r="AK74" s="342"/>
    </row>
    <row r="75" spans="2:38" x14ac:dyDescent="0.25">
      <c r="B75" s="13" t="s">
        <v>74</v>
      </c>
      <c r="C75" s="13" t="s">
        <v>105</v>
      </c>
      <c r="D75" s="941" t="str">
        <f>'Kalkulace a Porovnání'!D75</f>
        <v/>
      </c>
      <c r="E75" s="942"/>
      <c r="F75" s="942"/>
      <c r="G75" s="942"/>
      <c r="H75" s="943"/>
      <c r="K75" s="13" t="s">
        <v>74</v>
      </c>
      <c r="L75" s="13" t="s">
        <v>105</v>
      </c>
      <c r="M75" s="941" t="str">
        <f>'Kalkulace a Porovnání'!M75</f>
        <v/>
      </c>
      <c r="N75" s="942"/>
      <c r="O75" s="942"/>
      <c r="P75" s="942"/>
      <c r="Q75" s="943"/>
      <c r="T75" s="13" t="s">
        <v>74</v>
      </c>
      <c r="U75" s="13" t="s">
        <v>105</v>
      </c>
      <c r="V75" s="949" t="str">
        <f>'Kalkulace a Porovnání'!V75</f>
        <v/>
      </c>
      <c r="W75" s="738"/>
      <c r="X75" s="738"/>
      <c r="Y75" s="738"/>
      <c r="Z75" s="738"/>
      <c r="AA75" s="738"/>
      <c r="AB75" s="738"/>
      <c r="AC75" s="183"/>
      <c r="AD75" s="547"/>
      <c r="AG75" s="342"/>
      <c r="AH75" s="342"/>
      <c r="AI75" s="342"/>
      <c r="AJ75" s="342"/>
      <c r="AK75" s="342"/>
    </row>
    <row r="76" spans="2:38" x14ac:dyDescent="0.25">
      <c r="B76" s="13" t="s">
        <v>100</v>
      </c>
      <c r="C76" s="13" t="s">
        <v>106</v>
      </c>
      <c r="D76" s="941" t="str">
        <f>'Kalkulace a Porovnání'!D76</f>
        <v/>
      </c>
      <c r="E76" s="942"/>
      <c r="F76" s="942"/>
      <c r="G76" s="942"/>
      <c r="H76" s="943"/>
      <c r="K76" s="13" t="s">
        <v>100</v>
      </c>
      <c r="L76" s="13" t="s">
        <v>106</v>
      </c>
      <c r="M76" s="941" t="str">
        <f>'Kalkulace a Porovnání'!M76</f>
        <v/>
      </c>
      <c r="N76" s="942"/>
      <c r="O76" s="942"/>
      <c r="P76" s="942"/>
      <c r="Q76" s="943"/>
      <c r="T76" s="13" t="s">
        <v>100</v>
      </c>
      <c r="U76" s="13" t="s">
        <v>106</v>
      </c>
      <c r="V76" s="949" t="str">
        <f>'Kalkulace a Porovnání'!V76</f>
        <v/>
      </c>
      <c r="W76" s="738"/>
      <c r="X76" s="738"/>
      <c r="Y76" s="738"/>
      <c r="Z76" s="738"/>
      <c r="AA76" s="738"/>
      <c r="AB76" s="738"/>
      <c r="AC76" s="183"/>
      <c r="AD76" s="547"/>
      <c r="AG76" s="342"/>
      <c r="AH76" s="342"/>
      <c r="AI76" s="342"/>
      <c r="AJ76" s="342"/>
      <c r="AK76" s="342"/>
    </row>
    <row r="77" spans="2:38" x14ac:dyDescent="0.25">
      <c r="B77" s="13" t="s">
        <v>101</v>
      </c>
      <c r="C77" s="13" t="s">
        <v>107</v>
      </c>
      <c r="D77" s="941" t="str">
        <f>'Kalkulace a Porovnání'!D77</f>
        <v xml:space="preserve">Město Kraslice, IČ </v>
      </c>
      <c r="E77" s="942"/>
      <c r="F77" s="942"/>
      <c r="G77" s="942"/>
      <c r="H77" s="943"/>
      <c r="K77" s="13" t="s">
        <v>101</v>
      </c>
      <c r="L77" s="13" t="s">
        <v>107</v>
      </c>
      <c r="M77" s="941" t="str">
        <f>'Kalkulace a Porovnání'!M77</f>
        <v xml:space="preserve">Město Kraslice, IČ </v>
      </c>
      <c r="N77" s="942"/>
      <c r="O77" s="942"/>
      <c r="P77" s="942"/>
      <c r="Q77" s="943"/>
      <c r="T77" s="13" t="s">
        <v>101</v>
      </c>
      <c r="U77" s="13" t="s">
        <v>107</v>
      </c>
      <c r="V77" s="949" t="str">
        <f>'Kalkulace a Porovnání'!V77</f>
        <v xml:space="preserve">Město Kraslice, IČ </v>
      </c>
      <c r="W77" s="738"/>
      <c r="X77" s="738"/>
      <c r="Y77" s="738"/>
      <c r="Z77" s="738"/>
      <c r="AA77" s="738"/>
      <c r="AB77" s="738"/>
      <c r="AC77" s="183"/>
      <c r="AD77" s="547"/>
      <c r="AG77" s="342"/>
      <c r="AH77" s="342"/>
      <c r="AI77" s="342"/>
      <c r="AJ77" s="342"/>
      <c r="AK77" s="547"/>
      <c r="AL77" s="183"/>
    </row>
    <row r="78" spans="2:38" x14ac:dyDescent="0.25">
      <c r="B78" s="13" t="s">
        <v>102</v>
      </c>
      <c r="C78" s="13" t="s">
        <v>109</v>
      </c>
      <c r="D78" s="941" t="str">
        <f>'Kalkulace a Porovnání'!D78</f>
        <v>[vyplnit]</v>
      </c>
      <c r="E78" s="942"/>
      <c r="F78" s="942"/>
      <c r="G78" s="942"/>
      <c r="H78" s="943"/>
      <c r="K78" s="13" t="s">
        <v>102</v>
      </c>
      <c r="L78" s="13" t="s">
        <v>109</v>
      </c>
      <c r="M78" s="941" t="str">
        <f>'Kalkulace a Porovnání'!M78</f>
        <v xml:space="preserve"> </v>
      </c>
      <c r="N78" s="942"/>
      <c r="O78" s="942"/>
      <c r="P78" s="942"/>
      <c r="Q78" s="943"/>
      <c r="T78" s="13" t="s">
        <v>102</v>
      </c>
      <c r="U78" s="13" t="s">
        <v>109</v>
      </c>
      <c r="V78" s="949" t="str">
        <f>'Kalkulace a Porovnání'!V78</f>
        <v xml:space="preserve"> </v>
      </c>
      <c r="W78" s="738"/>
      <c r="X78" s="738"/>
      <c r="Y78" s="738"/>
      <c r="Z78" s="738"/>
      <c r="AA78" s="738"/>
      <c r="AB78" s="738"/>
      <c r="AC78" s="183"/>
      <c r="AD78" s="547"/>
      <c r="AG78" s="342"/>
      <c r="AH78" s="342"/>
      <c r="AI78" s="342"/>
      <c r="AJ78" s="342"/>
      <c r="AK78" s="547"/>
      <c r="AL78" s="183"/>
    </row>
    <row r="79" spans="2:38" x14ac:dyDescent="0.25">
      <c r="B79" s="13" t="s">
        <v>103</v>
      </c>
      <c r="C79" s="13" t="s">
        <v>108</v>
      </c>
      <c r="D79" s="941" t="str">
        <f>'Kalkulace a Porovnání'!D79</f>
        <v>[vyplnit]</v>
      </c>
      <c r="E79" s="942"/>
      <c r="F79" s="942"/>
      <c r="G79" s="942"/>
      <c r="H79" s="943"/>
      <c r="K79" s="13" t="s">
        <v>103</v>
      </c>
      <c r="L79" s="13" t="s">
        <v>108</v>
      </c>
      <c r="M79" s="941" t="str">
        <f>'Kalkulace a Porovnání'!M79</f>
        <v xml:space="preserve"> </v>
      </c>
      <c r="N79" s="942"/>
      <c r="O79" s="942"/>
      <c r="P79" s="942"/>
      <c r="Q79" s="943"/>
      <c r="T79" s="13" t="s">
        <v>103</v>
      </c>
      <c r="U79" s="13" t="s">
        <v>108</v>
      </c>
      <c r="V79" s="949" t="str">
        <f>'Kalkulace a Porovnání'!V79</f>
        <v xml:space="preserve"> </v>
      </c>
      <c r="W79" s="738"/>
      <c r="X79" s="738"/>
      <c r="Y79" s="738"/>
      <c r="Z79" s="738"/>
      <c r="AA79" s="738"/>
      <c r="AB79" s="738"/>
      <c r="AC79" s="183"/>
      <c r="AD79" s="547"/>
      <c r="AG79" s="342"/>
      <c r="AH79" s="342"/>
      <c r="AI79" s="342"/>
      <c r="AJ79" s="342"/>
      <c r="AK79" s="547"/>
      <c r="AL79" s="183"/>
    </row>
    <row r="80" spans="2:38" x14ac:dyDescent="0.25">
      <c r="B80" s="13" t="s">
        <v>104</v>
      </c>
      <c r="C80" s="13" t="s">
        <v>110</v>
      </c>
      <c r="D80" s="941" t="str">
        <f>'Kalkulace a Porovnání'!D80</f>
        <v>[vyplnit]</v>
      </c>
      <c r="E80" s="942"/>
      <c r="F80" s="942"/>
      <c r="G80" s="942"/>
      <c r="H80" s="943"/>
      <c r="K80" s="13" t="s">
        <v>104</v>
      </c>
      <c r="L80" s="13" t="s">
        <v>110</v>
      </c>
      <c r="M80" s="941" t="str">
        <f>'Kalkulace a Porovnání'!M80</f>
        <v xml:space="preserve"> </v>
      </c>
      <c r="N80" s="942"/>
      <c r="O80" s="942"/>
      <c r="P80" s="942"/>
      <c r="Q80" s="943"/>
      <c r="T80" s="13" t="s">
        <v>104</v>
      </c>
      <c r="U80" s="13" t="s">
        <v>110</v>
      </c>
      <c r="V80" s="949" t="str">
        <f>'Kalkulace a Porovnání'!V80</f>
        <v xml:space="preserve"> </v>
      </c>
      <c r="W80" s="738"/>
      <c r="X80" s="738"/>
      <c r="Y80" s="738"/>
      <c r="Z80" s="738"/>
      <c r="AA80" s="738"/>
      <c r="AB80" s="738"/>
      <c r="AC80" s="183"/>
      <c r="AD80" s="547"/>
      <c r="AG80" s="342"/>
      <c r="AH80" s="342"/>
      <c r="AI80" s="342"/>
      <c r="AJ80" s="342"/>
      <c r="AK80" s="547"/>
      <c r="AL80" s="183"/>
    </row>
    <row r="81" spans="2:38" x14ac:dyDescent="0.25">
      <c r="AC81" s="183"/>
      <c r="AD81" s="547"/>
      <c r="AG81" s="342"/>
      <c r="AH81" s="342"/>
      <c r="AI81" s="342"/>
      <c r="AJ81" s="342"/>
      <c r="AK81" s="547"/>
      <c r="AL81" s="183"/>
    </row>
    <row r="82" spans="2:38" ht="15" customHeight="1" x14ac:dyDescent="0.25">
      <c r="B82" s="932" t="s">
        <v>5</v>
      </c>
      <c r="C82" s="721" t="s">
        <v>0</v>
      </c>
      <c r="D82" s="722"/>
      <c r="E82" s="722"/>
      <c r="F82" s="722"/>
      <c r="G82" s="722"/>
      <c r="H82" s="725"/>
      <c r="K82" s="932" t="s">
        <v>5</v>
      </c>
      <c r="L82" s="721" t="s">
        <v>0</v>
      </c>
      <c r="M82" s="722"/>
      <c r="N82" s="722"/>
      <c r="O82" s="722"/>
      <c r="P82" s="722"/>
      <c r="Q82" s="725"/>
      <c r="T82" s="932" t="s">
        <v>5</v>
      </c>
      <c r="U82" s="721" t="s">
        <v>0</v>
      </c>
      <c r="V82" s="722"/>
      <c r="W82" s="722"/>
      <c r="X82" s="722"/>
      <c r="Y82" s="722"/>
      <c r="Z82" s="722"/>
      <c r="AA82" s="722"/>
      <c r="AB82" s="725"/>
      <c r="AC82" s="183"/>
      <c r="AD82" s="547"/>
      <c r="AG82" s="342"/>
      <c r="AH82" s="342"/>
      <c r="AI82" s="342"/>
      <c r="AJ82" s="342"/>
      <c r="AK82" s="547"/>
      <c r="AL82" s="183"/>
    </row>
    <row r="83" spans="2:38" x14ac:dyDescent="0.25">
      <c r="B83" s="930"/>
      <c r="C83" s="932" t="s">
        <v>1</v>
      </c>
      <c r="D83" s="929" t="s">
        <v>173</v>
      </c>
      <c r="E83" s="721" t="s">
        <v>3</v>
      </c>
      <c r="F83" s="722"/>
      <c r="G83" s="721" t="s">
        <v>4</v>
      </c>
      <c r="H83" s="725"/>
      <c r="K83" s="930"/>
      <c r="L83" s="932" t="s">
        <v>1</v>
      </c>
      <c r="M83" s="929" t="s">
        <v>173</v>
      </c>
      <c r="N83" s="721" t="s">
        <v>3</v>
      </c>
      <c r="O83" s="722"/>
      <c r="P83" s="721" t="s">
        <v>4</v>
      </c>
      <c r="Q83" s="725"/>
      <c r="T83" s="930"/>
      <c r="U83" s="932" t="s">
        <v>1</v>
      </c>
      <c r="V83" s="929" t="s">
        <v>173</v>
      </c>
      <c r="W83" s="721" t="s">
        <v>3</v>
      </c>
      <c r="X83" s="722"/>
      <c r="Y83" s="722"/>
      <c r="Z83" s="721" t="s">
        <v>4</v>
      </c>
      <c r="AA83" s="722"/>
      <c r="AB83" s="725"/>
      <c r="AC83" s="183"/>
      <c r="AD83" s="547"/>
      <c r="AG83" s="342"/>
      <c r="AH83" s="342"/>
      <c r="AI83" s="342"/>
      <c r="AJ83" s="342"/>
      <c r="AK83" s="547"/>
      <c r="AL83" s="183"/>
    </row>
    <row r="84" spans="2:38" x14ac:dyDescent="0.25">
      <c r="B84" s="930"/>
      <c r="C84" s="930"/>
      <c r="D84" s="930"/>
      <c r="E84" s="30">
        <f>'Kalkulace a Porovnání'!E84</f>
        <v>2020</v>
      </c>
      <c r="F84" s="30">
        <f>'Kalkulace a Porovnání'!F84</f>
        <v>2021</v>
      </c>
      <c r="G84" s="30">
        <f>'Kalkulace a Porovnání'!G84</f>
        <v>2020</v>
      </c>
      <c r="H84" s="30">
        <f>'Kalkulace a Porovnání'!H84</f>
        <v>2021</v>
      </c>
      <c r="K84" s="930"/>
      <c r="L84" s="930"/>
      <c r="M84" s="930"/>
      <c r="N84" s="30">
        <f>'Kalkulace a Porovnání'!N84</f>
        <v>2020</v>
      </c>
      <c r="O84" s="30">
        <f>'Kalkulace a Porovnání'!O84</f>
        <v>2021</v>
      </c>
      <c r="P84" s="30">
        <f>'Kalkulace a Porovnání'!P84</f>
        <v>2020</v>
      </c>
      <c r="Q84" s="30">
        <f>'Kalkulace a Porovnání'!Q84</f>
        <v>2021</v>
      </c>
      <c r="T84" s="930"/>
      <c r="U84" s="930"/>
      <c r="V84" s="930"/>
      <c r="W84" s="30">
        <f>'Kalkulace a Porovnání'!W84</f>
        <v>2021</v>
      </c>
      <c r="X84" s="30">
        <f>'Kalkulace a Porovnání'!X84</f>
        <v>2021</v>
      </c>
      <c r="Y84" s="30">
        <f>'Kalkulace a Porovnání'!Y84</f>
        <v>2021</v>
      </c>
      <c r="Z84" s="30">
        <f>'Kalkulace a Porovnání'!Z84</f>
        <v>2021</v>
      </c>
      <c r="AA84" s="30">
        <f>'Kalkulace a Porovnání'!AA84</f>
        <v>2021</v>
      </c>
      <c r="AB84" s="30">
        <f>'Kalkulace a Porovnání'!AB84</f>
        <v>2021</v>
      </c>
      <c r="AC84" s="183"/>
      <c r="AD84" s="547"/>
      <c r="AG84" s="342"/>
      <c r="AH84" s="342"/>
      <c r="AI84" s="342"/>
      <c r="AJ84" s="342"/>
      <c r="AK84" s="547"/>
      <c r="AL84" s="183"/>
    </row>
    <row r="85" spans="2:38" x14ac:dyDescent="0.25">
      <c r="B85" s="931"/>
      <c r="C85" s="931"/>
      <c r="D85" s="931"/>
      <c r="E85" s="7" t="s">
        <v>199</v>
      </c>
      <c r="F85" s="7" t="s">
        <v>114</v>
      </c>
      <c r="G85" s="7" t="s">
        <v>199</v>
      </c>
      <c r="H85" s="19" t="s">
        <v>114</v>
      </c>
      <c r="K85" s="931"/>
      <c r="L85" s="931"/>
      <c r="M85" s="931"/>
      <c r="N85" s="7" t="s">
        <v>199</v>
      </c>
      <c r="O85" s="7" t="s">
        <v>114</v>
      </c>
      <c r="P85" s="7" t="s">
        <v>199</v>
      </c>
      <c r="Q85" s="19" t="s">
        <v>114</v>
      </c>
      <c r="T85" s="931"/>
      <c r="U85" s="931"/>
      <c r="V85" s="931"/>
      <c r="W85" s="7" t="s">
        <v>198</v>
      </c>
      <c r="X85" s="7" t="s">
        <v>114</v>
      </c>
      <c r="Y85" s="7" t="s">
        <v>197</v>
      </c>
      <c r="Z85" s="7" t="s">
        <v>198</v>
      </c>
      <c r="AA85" s="7" t="s">
        <v>114</v>
      </c>
      <c r="AB85" s="19" t="s">
        <v>197</v>
      </c>
      <c r="AC85" s="183"/>
      <c r="AD85" s="547"/>
      <c r="AG85" s="342"/>
      <c r="AH85" s="342"/>
      <c r="AI85" s="342"/>
      <c r="AJ85" s="342"/>
      <c r="AK85" s="547"/>
      <c r="AL85" s="183"/>
    </row>
    <row r="86" spans="2:38" x14ac:dyDescent="0.25">
      <c r="B86" s="11">
        <v>1</v>
      </c>
      <c r="C86" s="11">
        <v>2</v>
      </c>
      <c r="D86" s="11" t="s">
        <v>111</v>
      </c>
      <c r="E86" s="11">
        <v>3</v>
      </c>
      <c r="F86" s="11">
        <v>4</v>
      </c>
      <c r="G86" s="11">
        <v>6</v>
      </c>
      <c r="H86" s="22">
        <v>7</v>
      </c>
      <c r="K86" s="11">
        <v>1</v>
      </c>
      <c r="L86" s="11">
        <v>2</v>
      </c>
      <c r="M86" s="11" t="s">
        <v>111</v>
      </c>
      <c r="N86" s="11">
        <v>3</v>
      </c>
      <c r="O86" s="11">
        <v>4</v>
      </c>
      <c r="P86" s="11">
        <v>6</v>
      </c>
      <c r="Q86" s="22">
        <v>7</v>
      </c>
      <c r="T86" s="11">
        <v>1</v>
      </c>
      <c r="U86" s="11">
        <v>2</v>
      </c>
      <c r="V86" s="11" t="s">
        <v>111</v>
      </c>
      <c r="W86" s="11">
        <v>3</v>
      </c>
      <c r="X86" s="11">
        <v>4</v>
      </c>
      <c r="Y86" s="11">
        <v>5</v>
      </c>
      <c r="Z86" s="11">
        <v>6</v>
      </c>
      <c r="AA86" s="11">
        <v>7</v>
      </c>
      <c r="AB86" s="22">
        <v>8</v>
      </c>
      <c r="AC86" s="183"/>
      <c r="AD86" s="547"/>
      <c r="AG86" s="342"/>
      <c r="AH86" s="342"/>
      <c r="AI86" s="342"/>
      <c r="AJ86" s="342"/>
      <c r="AK86" s="547"/>
      <c r="AL86" s="183"/>
    </row>
    <row r="87" spans="2:38" x14ac:dyDescent="0.25">
      <c r="B87" s="9" t="s">
        <v>8</v>
      </c>
      <c r="C87" s="10" t="s">
        <v>9</v>
      </c>
      <c r="D87" s="11" t="s">
        <v>10</v>
      </c>
      <c r="E87" s="46">
        <f>'Kalkulace a Porovnání'!E87</f>
        <v>0</v>
      </c>
      <c r="F87" s="46">
        <f>'Kalkulace a Porovnání'!F87</f>
        <v>0</v>
      </c>
      <c r="G87" s="46">
        <f>'Kalkulace a Porovnání'!G87</f>
        <v>0</v>
      </c>
      <c r="H87" s="98">
        <f>'Kalkulace a Porovnání'!H87</f>
        <v>0.28999999999999998</v>
      </c>
      <c r="K87" s="9" t="s">
        <v>8</v>
      </c>
      <c r="L87" s="10" t="s">
        <v>9</v>
      </c>
      <c r="M87" s="11" t="s">
        <v>10</v>
      </c>
      <c r="N87" s="46">
        <f>'Kalkulace a Porovnání'!N87</f>
        <v>0</v>
      </c>
      <c r="O87" s="46">
        <f>'Kalkulace a Porovnání'!O87</f>
        <v>0</v>
      </c>
      <c r="P87" s="46">
        <f>'Kalkulace a Porovnání'!P87</f>
        <v>0</v>
      </c>
      <c r="Q87" s="98">
        <f>'Kalkulace a Porovnání'!Q87</f>
        <v>0</v>
      </c>
      <c r="T87" s="9" t="s">
        <v>8</v>
      </c>
      <c r="U87" s="10" t="s">
        <v>9</v>
      </c>
      <c r="V87" s="11" t="s">
        <v>10</v>
      </c>
      <c r="W87" s="46">
        <f>'Kalkulace a Porovnání'!W87</f>
        <v>0</v>
      </c>
      <c r="X87" s="46">
        <f>'Kalkulace a Porovnání'!X87</f>
        <v>0</v>
      </c>
      <c r="Y87" s="46">
        <f>'Kalkulace a Porovnání'!Y87</f>
        <v>0</v>
      </c>
      <c r="Z87" s="46">
        <f>'Kalkulace a Porovnání'!Z87</f>
        <v>0</v>
      </c>
      <c r="AA87" s="46">
        <f>'Kalkulace a Porovnání'!AA87</f>
        <v>0.28999999999999998</v>
      </c>
      <c r="AB87" s="98">
        <f>'Kalkulace a Porovnání'!AB87</f>
        <v>-0.28999999999999998</v>
      </c>
      <c r="AC87" s="183"/>
      <c r="AD87" s="547"/>
      <c r="AG87" s="342"/>
      <c r="AH87" s="342"/>
      <c r="AI87" s="342"/>
      <c r="AJ87" s="342"/>
      <c r="AK87" s="547"/>
      <c r="AL87" s="183"/>
    </row>
    <row r="88" spans="2:38" x14ac:dyDescent="0.25">
      <c r="B88" s="12" t="s">
        <v>11</v>
      </c>
      <c r="C88" s="13" t="s">
        <v>12</v>
      </c>
      <c r="D88" s="3" t="s">
        <v>10</v>
      </c>
      <c r="E88" s="49">
        <f>'Kalkulace a Porovnání'!E88</f>
        <v>0</v>
      </c>
      <c r="F88" s="49">
        <f>'Kalkulace a Porovnání'!F88</f>
        <v>0</v>
      </c>
      <c r="G88" s="49">
        <f>'Kalkulace a Porovnání'!G88</f>
        <v>0</v>
      </c>
      <c r="H88" s="32">
        <f>'Kalkulace a Porovnání'!H88</f>
        <v>0</v>
      </c>
      <c r="K88" s="12" t="s">
        <v>11</v>
      </c>
      <c r="L88" s="13" t="s">
        <v>12</v>
      </c>
      <c r="M88" s="3" t="s">
        <v>10</v>
      </c>
      <c r="N88" s="49">
        <f>'Kalkulace a Porovnání'!N88</f>
        <v>0</v>
      </c>
      <c r="O88" s="49">
        <f>'Kalkulace a Porovnání'!O88</f>
        <v>0</v>
      </c>
      <c r="P88" s="49">
        <f>'Kalkulace a Porovnání'!P88</f>
        <v>0</v>
      </c>
      <c r="Q88" s="32">
        <f>'Kalkulace a Porovnání'!Q88</f>
        <v>0</v>
      </c>
      <c r="T88" s="12" t="s">
        <v>11</v>
      </c>
      <c r="U88" s="13" t="s">
        <v>12</v>
      </c>
      <c r="V88" s="3" t="s">
        <v>10</v>
      </c>
      <c r="W88" s="49">
        <f>'Kalkulace a Porovnání'!W88</f>
        <v>0</v>
      </c>
      <c r="X88" s="49">
        <f>'Kalkulace a Porovnání'!X88</f>
        <v>0</v>
      </c>
      <c r="Y88" s="49">
        <f>'Kalkulace a Porovnání'!Y88</f>
        <v>0</v>
      </c>
      <c r="Z88" s="49">
        <f>'Kalkulace a Porovnání'!Z88</f>
        <v>0</v>
      </c>
      <c r="AA88" s="49">
        <f>'Kalkulace a Porovnání'!AA88</f>
        <v>0</v>
      </c>
      <c r="AB88" s="32">
        <f>'Kalkulace a Porovnání'!AB88</f>
        <v>0</v>
      </c>
      <c r="AC88" s="183"/>
      <c r="AD88" s="547"/>
      <c r="AG88" s="342"/>
      <c r="AH88" s="342"/>
      <c r="AI88" s="342"/>
      <c r="AJ88" s="342"/>
      <c r="AK88" s="547"/>
      <c r="AL88" s="183"/>
    </row>
    <row r="89" spans="2:38" x14ac:dyDescent="0.25">
      <c r="B89" s="12" t="s">
        <v>13</v>
      </c>
      <c r="C89" s="12" t="s">
        <v>14</v>
      </c>
      <c r="D89" s="3" t="s">
        <v>10</v>
      </c>
      <c r="E89" s="49">
        <f>'Kalkulace a Porovnání'!E89</f>
        <v>0</v>
      </c>
      <c r="F89" s="49">
        <f>'Kalkulace a Porovnání'!F89</f>
        <v>0</v>
      </c>
      <c r="G89" s="49">
        <f>'Kalkulace a Porovnání'!G89</f>
        <v>0</v>
      </c>
      <c r="H89" s="32">
        <f>'Kalkulace a Porovnání'!H89</f>
        <v>0.28999999999999998</v>
      </c>
      <c r="K89" s="12" t="s">
        <v>13</v>
      </c>
      <c r="L89" s="12" t="s">
        <v>14</v>
      </c>
      <c r="M89" s="3" t="s">
        <v>10</v>
      </c>
      <c r="N89" s="49">
        <f>'Kalkulace a Porovnání'!N89</f>
        <v>0</v>
      </c>
      <c r="O89" s="49">
        <f>'Kalkulace a Porovnání'!O89</f>
        <v>0</v>
      </c>
      <c r="P89" s="49">
        <f>'Kalkulace a Porovnání'!P89</f>
        <v>0</v>
      </c>
      <c r="Q89" s="32">
        <f>'Kalkulace a Porovnání'!Q89</f>
        <v>0</v>
      </c>
      <c r="T89" s="12" t="s">
        <v>13</v>
      </c>
      <c r="U89" s="12" t="s">
        <v>14</v>
      </c>
      <c r="V89" s="3" t="s">
        <v>10</v>
      </c>
      <c r="W89" s="49">
        <f>'Kalkulace a Porovnání'!W89</f>
        <v>0</v>
      </c>
      <c r="X89" s="49">
        <f>'Kalkulace a Porovnání'!X89</f>
        <v>0</v>
      </c>
      <c r="Y89" s="49">
        <f>'Kalkulace a Porovnání'!Y89</f>
        <v>0</v>
      </c>
      <c r="Z89" s="49">
        <f>'Kalkulace a Porovnání'!Z89</f>
        <v>0</v>
      </c>
      <c r="AA89" s="49">
        <f>'Kalkulace a Porovnání'!AA89</f>
        <v>0.28999999999999998</v>
      </c>
      <c r="AB89" s="32">
        <f>'Kalkulace a Porovnání'!AB89</f>
        <v>-0.28999999999999998</v>
      </c>
      <c r="AC89" s="183"/>
      <c r="AD89" s="547"/>
      <c r="AG89" s="342"/>
      <c r="AH89" s="342"/>
      <c r="AI89" s="342"/>
      <c r="AJ89" s="342"/>
      <c r="AK89" s="547"/>
      <c r="AL89" s="183"/>
    </row>
    <row r="90" spans="2:38" x14ac:dyDescent="0.25">
      <c r="B90" s="12" t="s">
        <v>15</v>
      </c>
      <c r="C90" s="13" t="s">
        <v>16</v>
      </c>
      <c r="D90" s="3" t="s">
        <v>10</v>
      </c>
      <c r="E90" s="49">
        <f>'Kalkulace a Porovnání'!E90</f>
        <v>0</v>
      </c>
      <c r="F90" s="49">
        <f>'Kalkulace a Porovnání'!F90</f>
        <v>0</v>
      </c>
      <c r="G90" s="49">
        <f>'Kalkulace a Porovnání'!G90</f>
        <v>0</v>
      </c>
      <c r="H90" s="32">
        <f>'Kalkulace a Porovnání'!H90</f>
        <v>0</v>
      </c>
      <c r="K90" s="12" t="s">
        <v>15</v>
      </c>
      <c r="L90" s="13" t="s">
        <v>16</v>
      </c>
      <c r="M90" s="3" t="s">
        <v>10</v>
      </c>
      <c r="N90" s="49">
        <f>'Kalkulace a Porovnání'!N90</f>
        <v>0</v>
      </c>
      <c r="O90" s="49">
        <f>'Kalkulace a Porovnání'!O90</f>
        <v>0</v>
      </c>
      <c r="P90" s="49">
        <f>'Kalkulace a Porovnání'!P90</f>
        <v>0</v>
      </c>
      <c r="Q90" s="32">
        <f>'Kalkulace a Porovnání'!Q90</f>
        <v>0</v>
      </c>
      <c r="T90" s="12" t="s">
        <v>15</v>
      </c>
      <c r="U90" s="13" t="s">
        <v>16</v>
      </c>
      <c r="V90" s="3" t="s">
        <v>10</v>
      </c>
      <c r="W90" s="49">
        <f>'Kalkulace a Porovnání'!W90</f>
        <v>0</v>
      </c>
      <c r="X90" s="49">
        <f>'Kalkulace a Porovnání'!X90</f>
        <v>0</v>
      </c>
      <c r="Y90" s="49">
        <f>'Kalkulace a Porovnání'!Y90</f>
        <v>0</v>
      </c>
      <c r="Z90" s="49">
        <f>'Kalkulace a Porovnání'!Z90</f>
        <v>0</v>
      </c>
      <c r="AA90" s="49">
        <f>'Kalkulace a Porovnání'!AA90</f>
        <v>0</v>
      </c>
      <c r="AB90" s="32">
        <f>'Kalkulace a Porovnání'!AB90</f>
        <v>0</v>
      </c>
      <c r="AC90" s="183"/>
      <c r="AD90" s="547"/>
      <c r="AG90" s="342"/>
      <c r="AH90" s="342"/>
      <c r="AI90" s="342"/>
      <c r="AJ90" s="342"/>
      <c r="AK90" s="547"/>
      <c r="AL90" s="183"/>
    </row>
    <row r="91" spans="2:38" x14ac:dyDescent="0.25">
      <c r="B91" s="12" t="s">
        <v>17</v>
      </c>
      <c r="C91" s="13" t="s">
        <v>18</v>
      </c>
      <c r="D91" s="3" t="s">
        <v>10</v>
      </c>
      <c r="E91" s="49">
        <f>'Kalkulace a Porovnání'!E91</f>
        <v>0</v>
      </c>
      <c r="F91" s="49">
        <f>'Kalkulace a Porovnání'!F91</f>
        <v>0</v>
      </c>
      <c r="G91" s="49">
        <f>'Kalkulace a Porovnání'!G91</f>
        <v>0</v>
      </c>
      <c r="H91" s="32">
        <f>'Kalkulace a Porovnání'!H91</f>
        <v>0</v>
      </c>
      <c r="K91" s="12" t="s">
        <v>17</v>
      </c>
      <c r="L91" s="13" t="s">
        <v>18</v>
      </c>
      <c r="M91" s="3" t="s">
        <v>10</v>
      </c>
      <c r="N91" s="49">
        <f>'Kalkulace a Porovnání'!N91</f>
        <v>0</v>
      </c>
      <c r="O91" s="49">
        <f>'Kalkulace a Porovnání'!O91</f>
        <v>0</v>
      </c>
      <c r="P91" s="49">
        <f>'Kalkulace a Porovnání'!P91</f>
        <v>0</v>
      </c>
      <c r="Q91" s="32">
        <f>'Kalkulace a Porovnání'!Q91</f>
        <v>0</v>
      </c>
      <c r="T91" s="12" t="s">
        <v>17</v>
      </c>
      <c r="U91" s="13" t="s">
        <v>18</v>
      </c>
      <c r="V91" s="3" t="s">
        <v>10</v>
      </c>
      <c r="W91" s="49">
        <f>'Kalkulace a Porovnání'!W91</f>
        <v>0</v>
      </c>
      <c r="X91" s="49">
        <f>'Kalkulace a Porovnání'!X91</f>
        <v>0</v>
      </c>
      <c r="Y91" s="49">
        <f>'Kalkulace a Porovnání'!Y91</f>
        <v>0</v>
      </c>
      <c r="Z91" s="49">
        <f>'Kalkulace a Porovnání'!Z91</f>
        <v>0</v>
      </c>
      <c r="AA91" s="49">
        <f>'Kalkulace a Porovnání'!AA91</f>
        <v>0</v>
      </c>
      <c r="AB91" s="32">
        <f>'Kalkulace a Porovnání'!AB91</f>
        <v>0</v>
      </c>
      <c r="AC91" s="183"/>
      <c r="AD91" s="547"/>
      <c r="AG91" s="342"/>
      <c r="AH91" s="342"/>
      <c r="AI91" s="342"/>
      <c r="AJ91" s="342"/>
      <c r="AK91" s="547"/>
      <c r="AL91" s="183"/>
    </row>
    <row r="92" spans="2:38" x14ac:dyDescent="0.25">
      <c r="B92" s="9" t="s">
        <v>19</v>
      </c>
      <c r="C92" s="10" t="s">
        <v>20</v>
      </c>
      <c r="D92" s="11" t="s">
        <v>10</v>
      </c>
      <c r="E92" s="46">
        <f>'Kalkulace a Porovnání'!E92</f>
        <v>0</v>
      </c>
      <c r="F92" s="46">
        <f>'Kalkulace a Porovnání'!F92</f>
        <v>0</v>
      </c>
      <c r="G92" s="46">
        <f>'Kalkulace a Porovnání'!G92</f>
        <v>0</v>
      </c>
      <c r="H92" s="98">
        <f>'Kalkulace a Porovnání'!H92</f>
        <v>0</v>
      </c>
      <c r="K92" s="9" t="s">
        <v>19</v>
      </c>
      <c r="L92" s="10" t="s">
        <v>20</v>
      </c>
      <c r="M92" s="11" t="s">
        <v>10</v>
      </c>
      <c r="N92" s="46">
        <f>'Kalkulace a Porovnání'!N92</f>
        <v>0</v>
      </c>
      <c r="O92" s="46">
        <f>'Kalkulace a Porovnání'!O92</f>
        <v>0</v>
      </c>
      <c r="P92" s="46">
        <f>'Kalkulace a Porovnání'!P92</f>
        <v>0</v>
      </c>
      <c r="Q92" s="98">
        <f>'Kalkulace a Porovnání'!Q92</f>
        <v>0</v>
      </c>
      <c r="T92" s="9" t="s">
        <v>19</v>
      </c>
      <c r="U92" s="10" t="s">
        <v>20</v>
      </c>
      <c r="V92" s="11" t="s">
        <v>10</v>
      </c>
      <c r="W92" s="46">
        <f>'Kalkulace a Porovnání'!W92</f>
        <v>0</v>
      </c>
      <c r="X92" s="46">
        <f>'Kalkulace a Porovnání'!X92</f>
        <v>0</v>
      </c>
      <c r="Y92" s="46">
        <f>'Kalkulace a Porovnání'!Y92</f>
        <v>0</v>
      </c>
      <c r="Z92" s="46">
        <f>'Kalkulace a Porovnání'!Z92</f>
        <v>0</v>
      </c>
      <c r="AA92" s="46">
        <f>'Kalkulace a Porovnání'!AA92</f>
        <v>0</v>
      </c>
      <c r="AB92" s="98">
        <f>'Kalkulace a Porovnání'!AB92</f>
        <v>0</v>
      </c>
      <c r="AC92" s="183"/>
      <c r="AD92" s="547"/>
      <c r="AG92" s="342"/>
      <c r="AH92" s="342"/>
      <c r="AI92" s="342"/>
      <c r="AJ92" s="342"/>
      <c r="AK92" s="547"/>
      <c r="AL92" s="183"/>
    </row>
    <row r="93" spans="2:38" x14ac:dyDescent="0.25">
      <c r="B93" s="12" t="s">
        <v>21</v>
      </c>
      <c r="C93" s="12" t="s">
        <v>22</v>
      </c>
      <c r="D93" s="3" t="s">
        <v>10</v>
      </c>
      <c r="E93" s="49">
        <f>'Kalkulace a Porovnání'!E93</f>
        <v>0</v>
      </c>
      <c r="F93" s="49">
        <f>'Kalkulace a Porovnání'!F93</f>
        <v>0</v>
      </c>
      <c r="G93" s="49">
        <f>'Kalkulace a Porovnání'!G93</f>
        <v>0</v>
      </c>
      <c r="H93" s="32">
        <f>'Kalkulace a Porovnání'!H93</f>
        <v>0</v>
      </c>
      <c r="K93" s="12" t="s">
        <v>21</v>
      </c>
      <c r="L93" s="12" t="s">
        <v>22</v>
      </c>
      <c r="M93" s="3" t="s">
        <v>10</v>
      </c>
      <c r="N93" s="49">
        <f>'Kalkulace a Porovnání'!N93</f>
        <v>0</v>
      </c>
      <c r="O93" s="49">
        <f>'Kalkulace a Porovnání'!O93</f>
        <v>0</v>
      </c>
      <c r="P93" s="49">
        <f>'Kalkulace a Porovnání'!P93</f>
        <v>0</v>
      </c>
      <c r="Q93" s="32">
        <f>'Kalkulace a Porovnání'!Q93</f>
        <v>0</v>
      </c>
      <c r="T93" s="12" t="s">
        <v>21</v>
      </c>
      <c r="U93" s="12" t="s">
        <v>22</v>
      </c>
      <c r="V93" s="3" t="s">
        <v>10</v>
      </c>
      <c r="W93" s="49">
        <f>'Kalkulace a Porovnání'!W93</f>
        <v>0</v>
      </c>
      <c r="X93" s="49">
        <f>'Kalkulace a Porovnání'!X93</f>
        <v>0</v>
      </c>
      <c r="Y93" s="49">
        <f>'Kalkulace a Porovnání'!Y93</f>
        <v>0</v>
      </c>
      <c r="Z93" s="49">
        <f>'Kalkulace a Porovnání'!Z93</f>
        <v>0</v>
      </c>
      <c r="AA93" s="49">
        <f>'Kalkulace a Porovnání'!AA93</f>
        <v>0</v>
      </c>
      <c r="AB93" s="32">
        <f>'Kalkulace a Porovnání'!AB93</f>
        <v>0</v>
      </c>
      <c r="AC93" s="183"/>
      <c r="AD93" s="547"/>
      <c r="AG93" s="342"/>
      <c r="AH93" s="342"/>
      <c r="AI93" s="342"/>
      <c r="AJ93" s="342"/>
      <c r="AK93" s="547"/>
      <c r="AL93" s="183"/>
    </row>
    <row r="94" spans="2:38" x14ac:dyDescent="0.25">
      <c r="B94" s="12" t="s">
        <v>23</v>
      </c>
      <c r="C94" s="12" t="s">
        <v>24</v>
      </c>
      <c r="D94" s="3" t="s">
        <v>10</v>
      </c>
      <c r="E94" s="49">
        <f>'Kalkulace a Porovnání'!E94</f>
        <v>0</v>
      </c>
      <c r="F94" s="49">
        <f>'Kalkulace a Porovnání'!F94</f>
        <v>0</v>
      </c>
      <c r="G94" s="49">
        <f>'Kalkulace a Porovnání'!G94</f>
        <v>0</v>
      </c>
      <c r="H94" s="32">
        <f>'Kalkulace a Porovnání'!H94</f>
        <v>0</v>
      </c>
      <c r="K94" s="12" t="s">
        <v>23</v>
      </c>
      <c r="L94" s="12" t="s">
        <v>24</v>
      </c>
      <c r="M94" s="3" t="s">
        <v>10</v>
      </c>
      <c r="N94" s="49">
        <f>'Kalkulace a Porovnání'!N94</f>
        <v>0</v>
      </c>
      <c r="O94" s="49">
        <f>'Kalkulace a Porovnání'!O94</f>
        <v>0</v>
      </c>
      <c r="P94" s="49">
        <f>'Kalkulace a Porovnání'!P94</f>
        <v>0</v>
      </c>
      <c r="Q94" s="32">
        <f>'Kalkulace a Porovnání'!Q94</f>
        <v>0</v>
      </c>
      <c r="T94" s="12" t="s">
        <v>23</v>
      </c>
      <c r="U94" s="12" t="s">
        <v>24</v>
      </c>
      <c r="V94" s="3" t="s">
        <v>10</v>
      </c>
      <c r="W94" s="49">
        <f>'Kalkulace a Porovnání'!W94</f>
        <v>0</v>
      </c>
      <c r="X94" s="49">
        <f>'Kalkulace a Porovnání'!X94</f>
        <v>0</v>
      </c>
      <c r="Y94" s="49">
        <f>'Kalkulace a Porovnání'!Y94</f>
        <v>0</v>
      </c>
      <c r="Z94" s="49">
        <f>'Kalkulace a Porovnání'!Z94</f>
        <v>0</v>
      </c>
      <c r="AA94" s="49">
        <f>'Kalkulace a Porovnání'!AA94</f>
        <v>0</v>
      </c>
      <c r="AB94" s="32">
        <f>'Kalkulace a Porovnání'!AB94</f>
        <v>0</v>
      </c>
      <c r="AC94" s="183"/>
      <c r="AD94" s="547"/>
      <c r="AG94" s="342"/>
      <c r="AH94" s="342"/>
      <c r="AI94" s="342"/>
      <c r="AJ94" s="342"/>
      <c r="AK94" s="547"/>
      <c r="AL94" s="183"/>
    </row>
    <row r="95" spans="2:38" x14ac:dyDescent="0.25">
      <c r="B95" s="9" t="s">
        <v>25</v>
      </c>
      <c r="C95" s="10" t="s">
        <v>26</v>
      </c>
      <c r="D95" s="11" t="s">
        <v>10</v>
      </c>
      <c r="E95" s="46">
        <f>'Kalkulace a Porovnání'!E95</f>
        <v>0</v>
      </c>
      <c r="F95" s="46">
        <f>'Kalkulace a Porovnání'!F95</f>
        <v>0</v>
      </c>
      <c r="G95" s="46">
        <f>'Kalkulace a Porovnání'!G95</f>
        <v>0</v>
      </c>
      <c r="H95" s="98">
        <f>'Kalkulace a Porovnání'!H95</f>
        <v>0</v>
      </c>
      <c r="K95" s="9" t="s">
        <v>25</v>
      </c>
      <c r="L95" s="10" t="s">
        <v>26</v>
      </c>
      <c r="M95" s="11" t="s">
        <v>10</v>
      </c>
      <c r="N95" s="46">
        <f>'Kalkulace a Porovnání'!N95</f>
        <v>0</v>
      </c>
      <c r="O95" s="46">
        <f>'Kalkulace a Porovnání'!O95</f>
        <v>0</v>
      </c>
      <c r="P95" s="46">
        <f>'Kalkulace a Porovnání'!P95</f>
        <v>0</v>
      </c>
      <c r="Q95" s="98">
        <f>'Kalkulace a Porovnání'!Q95</f>
        <v>0</v>
      </c>
      <c r="T95" s="9" t="s">
        <v>25</v>
      </c>
      <c r="U95" s="10" t="s">
        <v>26</v>
      </c>
      <c r="V95" s="11" t="s">
        <v>10</v>
      </c>
      <c r="W95" s="46">
        <f>'Kalkulace a Porovnání'!W95</f>
        <v>0</v>
      </c>
      <c r="X95" s="46">
        <f>'Kalkulace a Porovnání'!X95</f>
        <v>0</v>
      </c>
      <c r="Y95" s="46">
        <f>'Kalkulace a Porovnání'!Y95</f>
        <v>0</v>
      </c>
      <c r="Z95" s="46">
        <f>'Kalkulace a Porovnání'!Z95</f>
        <v>0</v>
      </c>
      <c r="AA95" s="46">
        <f>'Kalkulace a Porovnání'!AA95</f>
        <v>0</v>
      </c>
      <c r="AB95" s="98">
        <f>'Kalkulace a Porovnání'!AB95</f>
        <v>0</v>
      </c>
      <c r="AC95" s="183"/>
      <c r="AD95" s="547"/>
      <c r="AG95" s="342"/>
      <c r="AH95" s="342"/>
      <c r="AI95" s="342"/>
      <c r="AJ95" s="342"/>
      <c r="AK95" s="547"/>
      <c r="AL95" s="183"/>
    </row>
    <row r="96" spans="2:38" x14ac:dyDescent="0.25">
      <c r="B96" s="12" t="s">
        <v>27</v>
      </c>
      <c r="C96" s="13" t="s">
        <v>28</v>
      </c>
      <c r="D96" s="3" t="s">
        <v>10</v>
      </c>
      <c r="E96" s="49">
        <f>'Kalkulace a Porovnání'!E96</f>
        <v>0</v>
      </c>
      <c r="F96" s="49">
        <f>'Kalkulace a Porovnání'!F96</f>
        <v>0</v>
      </c>
      <c r="G96" s="49">
        <f>'Kalkulace a Porovnání'!G96</f>
        <v>0</v>
      </c>
      <c r="H96" s="32">
        <f>'Kalkulace a Porovnání'!H96</f>
        <v>0</v>
      </c>
      <c r="K96" s="12" t="s">
        <v>27</v>
      </c>
      <c r="L96" s="13" t="s">
        <v>28</v>
      </c>
      <c r="M96" s="3" t="s">
        <v>10</v>
      </c>
      <c r="N96" s="49">
        <f>'Kalkulace a Porovnání'!N96</f>
        <v>0</v>
      </c>
      <c r="O96" s="49">
        <f>'Kalkulace a Porovnání'!O96</f>
        <v>0</v>
      </c>
      <c r="P96" s="49">
        <f>'Kalkulace a Porovnání'!P96</f>
        <v>0</v>
      </c>
      <c r="Q96" s="32">
        <f>'Kalkulace a Porovnání'!Q96</f>
        <v>0</v>
      </c>
      <c r="T96" s="12" t="s">
        <v>27</v>
      </c>
      <c r="U96" s="13" t="s">
        <v>28</v>
      </c>
      <c r="V96" s="3" t="s">
        <v>10</v>
      </c>
      <c r="W96" s="49">
        <f>'Kalkulace a Porovnání'!W96</f>
        <v>0</v>
      </c>
      <c r="X96" s="49">
        <f>'Kalkulace a Porovnání'!X96</f>
        <v>0</v>
      </c>
      <c r="Y96" s="49">
        <f>'Kalkulace a Porovnání'!Y96</f>
        <v>0</v>
      </c>
      <c r="Z96" s="49">
        <f>'Kalkulace a Porovnání'!Z96</f>
        <v>0</v>
      </c>
      <c r="AA96" s="49">
        <f>'Kalkulace a Porovnání'!AA96</f>
        <v>0</v>
      </c>
      <c r="AB96" s="32">
        <f>'Kalkulace a Porovnání'!AB96</f>
        <v>0</v>
      </c>
      <c r="AC96" s="183"/>
      <c r="AD96" s="547"/>
      <c r="AG96" s="342"/>
      <c r="AH96" s="342"/>
      <c r="AI96" s="342"/>
      <c r="AJ96" s="342"/>
      <c r="AK96" s="547"/>
      <c r="AL96" s="183"/>
    </row>
    <row r="97" spans="2:38" x14ac:dyDescent="0.25">
      <c r="B97" s="12" t="s">
        <v>29</v>
      </c>
      <c r="C97" s="13" t="s">
        <v>30</v>
      </c>
      <c r="D97" s="3" t="s">
        <v>10</v>
      </c>
      <c r="E97" s="49">
        <f>'Kalkulace a Porovnání'!E97</f>
        <v>0</v>
      </c>
      <c r="F97" s="49">
        <f>'Kalkulace a Porovnání'!F97</f>
        <v>0</v>
      </c>
      <c r="G97" s="49">
        <f>'Kalkulace a Porovnání'!G97</f>
        <v>0</v>
      </c>
      <c r="H97" s="32">
        <f>'Kalkulace a Porovnání'!H97</f>
        <v>0</v>
      </c>
      <c r="K97" s="12" t="s">
        <v>29</v>
      </c>
      <c r="L97" s="13" t="s">
        <v>30</v>
      </c>
      <c r="M97" s="3" t="s">
        <v>10</v>
      </c>
      <c r="N97" s="49">
        <f>'Kalkulace a Porovnání'!N97</f>
        <v>0</v>
      </c>
      <c r="O97" s="49">
        <f>'Kalkulace a Porovnání'!O97</f>
        <v>0</v>
      </c>
      <c r="P97" s="49">
        <f>'Kalkulace a Porovnání'!P97</f>
        <v>0</v>
      </c>
      <c r="Q97" s="32">
        <f>'Kalkulace a Porovnání'!Q97</f>
        <v>0</v>
      </c>
      <c r="T97" s="12" t="s">
        <v>29</v>
      </c>
      <c r="U97" s="13" t="s">
        <v>30</v>
      </c>
      <c r="V97" s="3" t="s">
        <v>10</v>
      </c>
      <c r="W97" s="49">
        <f>'Kalkulace a Porovnání'!W97</f>
        <v>0</v>
      </c>
      <c r="X97" s="49">
        <f>'Kalkulace a Porovnání'!X97</f>
        <v>0</v>
      </c>
      <c r="Y97" s="49">
        <f>'Kalkulace a Porovnání'!Y97</f>
        <v>0</v>
      </c>
      <c r="Z97" s="49">
        <f>'Kalkulace a Porovnání'!Z97</f>
        <v>0</v>
      </c>
      <c r="AA97" s="49">
        <f>'Kalkulace a Porovnání'!AA97</f>
        <v>0</v>
      </c>
      <c r="AB97" s="32">
        <f>'Kalkulace a Porovnání'!AB97</f>
        <v>0</v>
      </c>
      <c r="AC97" s="183"/>
      <c r="AD97" s="547"/>
      <c r="AG97" s="342"/>
      <c r="AH97" s="342"/>
      <c r="AI97" s="342"/>
      <c r="AJ97" s="342"/>
      <c r="AK97" s="547"/>
      <c r="AL97" s="183"/>
    </row>
    <row r="98" spans="2:38" x14ac:dyDescent="0.25">
      <c r="B98" s="9" t="s">
        <v>31</v>
      </c>
      <c r="C98" s="10" t="s">
        <v>32</v>
      </c>
      <c r="D98" s="11" t="s">
        <v>10</v>
      </c>
      <c r="E98" s="46">
        <f>'Kalkulace a Porovnání'!E98</f>
        <v>0</v>
      </c>
      <c r="F98" s="46">
        <f>'Kalkulace a Porovnání'!F98</f>
        <v>0</v>
      </c>
      <c r="G98" s="46">
        <f>'Kalkulace a Porovnání'!G98</f>
        <v>0</v>
      </c>
      <c r="H98" s="98">
        <f>'Kalkulace a Porovnání'!H98</f>
        <v>0.14000000000000001</v>
      </c>
      <c r="K98" s="9" t="s">
        <v>31</v>
      </c>
      <c r="L98" s="10" t="s">
        <v>32</v>
      </c>
      <c r="M98" s="11" t="s">
        <v>10</v>
      </c>
      <c r="N98" s="46">
        <f>'Kalkulace a Porovnání'!N98</f>
        <v>0</v>
      </c>
      <c r="O98" s="46">
        <f>'Kalkulace a Porovnání'!O98</f>
        <v>0</v>
      </c>
      <c r="P98" s="46">
        <f>'Kalkulace a Porovnání'!P98</f>
        <v>0</v>
      </c>
      <c r="Q98" s="98">
        <f>'Kalkulace a Porovnání'!Q98</f>
        <v>0</v>
      </c>
      <c r="T98" s="9" t="s">
        <v>31</v>
      </c>
      <c r="U98" s="10" t="s">
        <v>32</v>
      </c>
      <c r="V98" s="11" t="s">
        <v>10</v>
      </c>
      <c r="W98" s="46">
        <f>'Kalkulace a Porovnání'!W98</f>
        <v>0</v>
      </c>
      <c r="X98" s="46">
        <f>'Kalkulace a Porovnání'!X98</f>
        <v>0</v>
      </c>
      <c r="Y98" s="46">
        <f>'Kalkulace a Porovnání'!Y98</f>
        <v>0</v>
      </c>
      <c r="Z98" s="46">
        <f>'Kalkulace a Porovnání'!Z98</f>
        <v>0</v>
      </c>
      <c r="AA98" s="46">
        <f>'Kalkulace a Porovnání'!AA98</f>
        <v>0.14000000000000001</v>
      </c>
      <c r="AB98" s="98">
        <f>'Kalkulace a Porovnání'!AB98</f>
        <v>-0.14000000000000001</v>
      </c>
      <c r="AC98" s="183"/>
      <c r="AD98" s="547"/>
      <c r="AG98" s="342"/>
      <c r="AH98" s="342"/>
      <c r="AI98" s="342"/>
      <c r="AJ98" s="342"/>
      <c r="AK98" s="547"/>
      <c r="AL98" s="183"/>
    </row>
    <row r="99" spans="2:38" x14ac:dyDescent="0.25">
      <c r="B99" s="12" t="s">
        <v>33</v>
      </c>
      <c r="C99" s="21" t="s">
        <v>34</v>
      </c>
      <c r="D99" s="3" t="s">
        <v>10</v>
      </c>
      <c r="E99" s="49">
        <f>'Kalkulace a Porovnání'!E99</f>
        <v>0</v>
      </c>
      <c r="F99" s="49">
        <f>'Kalkulace a Porovnání'!F99</f>
        <v>0</v>
      </c>
      <c r="G99" s="49">
        <f>'Kalkulace a Porovnání'!G99</f>
        <v>0</v>
      </c>
      <c r="H99" s="32">
        <f>'Kalkulace a Porovnání'!H99</f>
        <v>0</v>
      </c>
      <c r="K99" s="12" t="s">
        <v>33</v>
      </c>
      <c r="L99" s="21" t="s">
        <v>34</v>
      </c>
      <c r="M99" s="3" t="s">
        <v>10</v>
      </c>
      <c r="N99" s="49">
        <f>'Kalkulace a Porovnání'!N99</f>
        <v>0</v>
      </c>
      <c r="O99" s="49">
        <f>'Kalkulace a Porovnání'!O99</f>
        <v>0</v>
      </c>
      <c r="P99" s="49">
        <f>'Kalkulace a Porovnání'!P99</f>
        <v>0</v>
      </c>
      <c r="Q99" s="32">
        <f>'Kalkulace a Porovnání'!Q99</f>
        <v>0</v>
      </c>
      <c r="T99" s="12" t="s">
        <v>33</v>
      </c>
      <c r="U99" s="21" t="s">
        <v>34</v>
      </c>
      <c r="V99" s="3" t="s">
        <v>10</v>
      </c>
      <c r="W99" s="49">
        <f>'Kalkulace a Porovnání'!W99</f>
        <v>0</v>
      </c>
      <c r="X99" s="49">
        <f>'Kalkulace a Porovnání'!X99</f>
        <v>0</v>
      </c>
      <c r="Y99" s="49">
        <f>'Kalkulace a Porovnání'!Y99</f>
        <v>0</v>
      </c>
      <c r="Z99" s="49">
        <f>'Kalkulace a Porovnání'!Z99</f>
        <v>0</v>
      </c>
      <c r="AA99" s="49">
        <f>'Kalkulace a Porovnání'!AA99</f>
        <v>0</v>
      </c>
      <c r="AB99" s="32">
        <f>'Kalkulace a Porovnání'!AB99</f>
        <v>0</v>
      </c>
      <c r="AC99" s="183"/>
      <c r="AD99" s="547"/>
      <c r="AG99" s="547"/>
      <c r="AH99" s="547"/>
      <c r="AI99" s="342"/>
      <c r="AJ99" s="342"/>
      <c r="AK99" s="547"/>
      <c r="AL99" s="183"/>
    </row>
    <row r="100" spans="2:38" x14ac:dyDescent="0.25">
      <c r="B100" s="12" t="s">
        <v>35</v>
      </c>
      <c r="C100" s="13" t="s">
        <v>36</v>
      </c>
      <c r="D100" s="3" t="s">
        <v>10</v>
      </c>
      <c r="E100" s="49">
        <f>'Kalkulace a Porovnání'!E100</f>
        <v>0</v>
      </c>
      <c r="F100" s="49">
        <f>'Kalkulace a Porovnání'!F100</f>
        <v>0</v>
      </c>
      <c r="G100" s="49">
        <f>'Kalkulace a Porovnání'!G100</f>
        <v>0</v>
      </c>
      <c r="H100" s="32">
        <f>'Kalkulace a Porovnání'!H100</f>
        <v>0</v>
      </c>
      <c r="K100" s="12" t="s">
        <v>35</v>
      </c>
      <c r="L100" s="13" t="s">
        <v>36</v>
      </c>
      <c r="M100" s="3" t="s">
        <v>10</v>
      </c>
      <c r="N100" s="49">
        <f>'Kalkulace a Porovnání'!N100</f>
        <v>0</v>
      </c>
      <c r="O100" s="49">
        <f>'Kalkulace a Porovnání'!O100</f>
        <v>0</v>
      </c>
      <c r="P100" s="49">
        <f>'Kalkulace a Porovnání'!P100</f>
        <v>0</v>
      </c>
      <c r="Q100" s="32">
        <f>'Kalkulace a Porovnání'!Q100</f>
        <v>0</v>
      </c>
      <c r="T100" s="12" t="s">
        <v>35</v>
      </c>
      <c r="U100" s="13" t="s">
        <v>36</v>
      </c>
      <c r="V100" s="3" t="s">
        <v>10</v>
      </c>
      <c r="W100" s="49">
        <f>'Kalkulace a Porovnání'!W100</f>
        <v>0</v>
      </c>
      <c r="X100" s="49">
        <f>'Kalkulace a Porovnání'!X100</f>
        <v>0</v>
      </c>
      <c r="Y100" s="49">
        <f>'Kalkulace a Porovnání'!Y100</f>
        <v>0</v>
      </c>
      <c r="Z100" s="49">
        <f>'Kalkulace a Porovnání'!Z100</f>
        <v>0</v>
      </c>
      <c r="AA100" s="49">
        <f>'Kalkulace a Porovnání'!AA100</f>
        <v>0</v>
      </c>
      <c r="AB100" s="32">
        <f>'Kalkulace a Porovnání'!AB100</f>
        <v>0</v>
      </c>
      <c r="AC100" s="183"/>
      <c r="AD100" s="547"/>
      <c r="AG100" s="547"/>
      <c r="AH100" s="547"/>
      <c r="AI100" s="342"/>
      <c r="AJ100" s="342"/>
      <c r="AK100" s="547"/>
      <c r="AL100" s="183"/>
    </row>
    <row r="101" spans="2:38" x14ac:dyDescent="0.25">
      <c r="B101" s="12" t="s">
        <v>37</v>
      </c>
      <c r="C101" s="13" t="s">
        <v>38</v>
      </c>
      <c r="D101" s="3" t="s">
        <v>10</v>
      </c>
      <c r="E101" s="49">
        <f>'Kalkulace a Porovnání'!E101</f>
        <v>0</v>
      </c>
      <c r="F101" s="49">
        <f>'Kalkulace a Porovnání'!F101</f>
        <v>0</v>
      </c>
      <c r="G101" s="49">
        <f>'Kalkulace a Porovnání'!G101</f>
        <v>0</v>
      </c>
      <c r="H101" s="32">
        <f>'Kalkulace a Porovnání'!H101</f>
        <v>0.14000000000000001</v>
      </c>
      <c r="K101" s="12" t="s">
        <v>37</v>
      </c>
      <c r="L101" s="13" t="s">
        <v>38</v>
      </c>
      <c r="M101" s="3" t="s">
        <v>10</v>
      </c>
      <c r="N101" s="49">
        <f>'Kalkulace a Porovnání'!N101</f>
        <v>0</v>
      </c>
      <c r="O101" s="49">
        <f>'Kalkulace a Porovnání'!O101</f>
        <v>0</v>
      </c>
      <c r="P101" s="49">
        <f>'Kalkulace a Porovnání'!P101</f>
        <v>0</v>
      </c>
      <c r="Q101" s="32">
        <f>'Kalkulace a Porovnání'!Q101</f>
        <v>0</v>
      </c>
      <c r="T101" s="12" t="s">
        <v>37</v>
      </c>
      <c r="U101" s="13" t="s">
        <v>38</v>
      </c>
      <c r="V101" s="3" t="s">
        <v>10</v>
      </c>
      <c r="W101" s="49">
        <f>'Kalkulace a Porovnání'!W101</f>
        <v>0</v>
      </c>
      <c r="X101" s="49">
        <f>'Kalkulace a Porovnání'!X101</f>
        <v>0</v>
      </c>
      <c r="Y101" s="49">
        <f>'Kalkulace a Porovnání'!Y101</f>
        <v>0</v>
      </c>
      <c r="Z101" s="49">
        <f>'Kalkulace a Porovnání'!Z101</f>
        <v>0</v>
      </c>
      <c r="AA101" s="49">
        <f>'Kalkulace a Porovnání'!AA101</f>
        <v>0.14000000000000001</v>
      </c>
      <c r="AB101" s="32">
        <f>'Kalkulace a Porovnání'!AB101</f>
        <v>-0.14000000000000001</v>
      </c>
      <c r="AC101" s="183"/>
      <c r="AD101" s="547"/>
      <c r="AG101" s="342"/>
      <c r="AH101" s="342"/>
      <c r="AI101" s="342"/>
      <c r="AJ101" s="342"/>
      <c r="AK101" s="547"/>
      <c r="AL101" s="183"/>
    </row>
    <row r="102" spans="2:38" x14ac:dyDescent="0.25">
      <c r="B102" s="12" t="s">
        <v>39</v>
      </c>
      <c r="C102" s="21" t="s">
        <v>40</v>
      </c>
      <c r="D102" s="3" t="s">
        <v>10</v>
      </c>
      <c r="E102" s="49">
        <f>'Kalkulace a Porovnání'!E102</f>
        <v>0</v>
      </c>
      <c r="F102" s="49">
        <f>'Kalkulace a Porovnání'!F102</f>
        <v>0</v>
      </c>
      <c r="G102" s="49">
        <f>'Kalkulace a Porovnání'!G102</f>
        <v>0</v>
      </c>
      <c r="H102" s="32">
        <f>'Kalkulace a Porovnání'!H102</f>
        <v>0</v>
      </c>
      <c r="K102" s="12" t="s">
        <v>39</v>
      </c>
      <c r="L102" s="21" t="s">
        <v>40</v>
      </c>
      <c r="M102" s="3" t="s">
        <v>10</v>
      </c>
      <c r="N102" s="49">
        <f>'Kalkulace a Porovnání'!N102</f>
        <v>0</v>
      </c>
      <c r="O102" s="49">
        <f>'Kalkulace a Porovnání'!O102</f>
        <v>0</v>
      </c>
      <c r="P102" s="49">
        <f>'Kalkulace a Porovnání'!P102</f>
        <v>0</v>
      </c>
      <c r="Q102" s="32">
        <f>'Kalkulace a Porovnání'!Q102</f>
        <v>0</v>
      </c>
      <c r="T102" s="12" t="s">
        <v>39</v>
      </c>
      <c r="U102" s="21" t="s">
        <v>40</v>
      </c>
      <c r="V102" s="3" t="s">
        <v>10</v>
      </c>
      <c r="W102" s="49">
        <f>'Kalkulace a Porovnání'!W102</f>
        <v>0</v>
      </c>
      <c r="X102" s="49">
        <f>'Kalkulace a Porovnání'!X102</f>
        <v>0</v>
      </c>
      <c r="Y102" s="49">
        <f>'Kalkulace a Porovnání'!Y102</f>
        <v>0</v>
      </c>
      <c r="Z102" s="49">
        <f>'Kalkulace a Porovnání'!Z102</f>
        <v>0</v>
      </c>
      <c r="AA102" s="49">
        <f>'Kalkulace a Porovnání'!AA102</f>
        <v>0</v>
      </c>
      <c r="AB102" s="32">
        <f>'Kalkulace a Porovnání'!AB102</f>
        <v>0</v>
      </c>
      <c r="AC102" s="183"/>
      <c r="AD102" s="547"/>
      <c r="AG102" s="342"/>
      <c r="AH102" s="342"/>
      <c r="AI102" s="342"/>
      <c r="AJ102" s="342"/>
      <c r="AK102" s="547"/>
      <c r="AL102" s="183"/>
    </row>
    <row r="103" spans="2:38" x14ac:dyDescent="0.25">
      <c r="B103" s="9" t="s">
        <v>41</v>
      </c>
      <c r="C103" s="10" t="s">
        <v>42</v>
      </c>
      <c r="D103" s="11" t="s">
        <v>10</v>
      </c>
      <c r="E103" s="46">
        <f>'Kalkulace a Porovnání'!E103</f>
        <v>0</v>
      </c>
      <c r="F103" s="46">
        <f>'Kalkulace a Porovnání'!F103</f>
        <v>0</v>
      </c>
      <c r="G103" s="46">
        <f>'Kalkulace a Porovnání'!G103</f>
        <v>0</v>
      </c>
      <c r="H103" s="98">
        <f>'Kalkulace a Porovnání'!H103</f>
        <v>0</v>
      </c>
      <c r="K103" s="9" t="s">
        <v>41</v>
      </c>
      <c r="L103" s="10" t="s">
        <v>42</v>
      </c>
      <c r="M103" s="11" t="s">
        <v>10</v>
      </c>
      <c r="N103" s="46">
        <f>'Kalkulace a Porovnání'!N103</f>
        <v>0</v>
      </c>
      <c r="O103" s="46">
        <f>'Kalkulace a Porovnání'!O103</f>
        <v>0</v>
      </c>
      <c r="P103" s="46">
        <f>'Kalkulace a Porovnání'!P103</f>
        <v>0</v>
      </c>
      <c r="Q103" s="98">
        <f>'Kalkulace a Porovnání'!Q103</f>
        <v>0</v>
      </c>
      <c r="T103" s="9" t="s">
        <v>41</v>
      </c>
      <c r="U103" s="10" t="s">
        <v>42</v>
      </c>
      <c r="V103" s="11" t="s">
        <v>10</v>
      </c>
      <c r="W103" s="46">
        <f>'Kalkulace a Porovnání'!W103</f>
        <v>0</v>
      </c>
      <c r="X103" s="46">
        <f>'Kalkulace a Porovnání'!X103</f>
        <v>0</v>
      </c>
      <c r="Y103" s="46">
        <f>'Kalkulace a Porovnání'!Y103</f>
        <v>0</v>
      </c>
      <c r="Z103" s="46">
        <f>'Kalkulace a Porovnání'!Z103</f>
        <v>0</v>
      </c>
      <c r="AA103" s="46">
        <f>'Kalkulace a Porovnání'!AA103</f>
        <v>0</v>
      </c>
      <c r="AB103" s="98">
        <f>'Kalkulace a Porovnání'!AB103</f>
        <v>0</v>
      </c>
      <c r="AC103" s="183"/>
      <c r="AD103" s="547"/>
      <c r="AG103" s="548"/>
      <c r="AH103" s="548"/>
      <c r="AI103" s="342"/>
      <c r="AJ103" s="342"/>
      <c r="AK103" s="547"/>
      <c r="AL103" s="183"/>
    </row>
    <row r="104" spans="2:38" x14ac:dyDescent="0.25">
      <c r="B104" s="12" t="s">
        <v>43</v>
      </c>
      <c r="C104" s="13" t="s">
        <v>44</v>
      </c>
      <c r="D104" s="3" t="s">
        <v>10</v>
      </c>
      <c r="E104" s="49">
        <f>'Kalkulace a Porovnání'!E104</f>
        <v>0</v>
      </c>
      <c r="F104" s="49">
        <f>'Kalkulace a Porovnání'!F104</f>
        <v>0</v>
      </c>
      <c r="G104" s="49">
        <f>'Kalkulace a Porovnání'!G104</f>
        <v>0</v>
      </c>
      <c r="H104" s="32">
        <f>'Kalkulace a Porovnání'!H104</f>
        <v>0</v>
      </c>
      <c r="K104" s="12" t="s">
        <v>43</v>
      </c>
      <c r="L104" s="13" t="s">
        <v>44</v>
      </c>
      <c r="M104" s="3" t="s">
        <v>10</v>
      </c>
      <c r="N104" s="49">
        <f>'Kalkulace a Porovnání'!N104</f>
        <v>0</v>
      </c>
      <c r="O104" s="49">
        <f>'Kalkulace a Porovnání'!O104</f>
        <v>0</v>
      </c>
      <c r="P104" s="49">
        <f>'Kalkulace a Porovnání'!P104</f>
        <v>0</v>
      </c>
      <c r="Q104" s="32">
        <f>'Kalkulace a Porovnání'!Q104</f>
        <v>0</v>
      </c>
      <c r="T104" s="12" t="s">
        <v>43</v>
      </c>
      <c r="U104" s="13" t="s">
        <v>44</v>
      </c>
      <c r="V104" s="3" t="s">
        <v>10</v>
      </c>
      <c r="W104" s="49">
        <f>'Kalkulace a Porovnání'!W104</f>
        <v>0</v>
      </c>
      <c r="X104" s="49">
        <f>'Kalkulace a Porovnání'!X104</f>
        <v>0</v>
      </c>
      <c r="Y104" s="49">
        <f>'Kalkulace a Porovnání'!Y104</f>
        <v>0</v>
      </c>
      <c r="Z104" s="49">
        <f>'Kalkulace a Porovnání'!Z104</f>
        <v>0</v>
      </c>
      <c r="AA104" s="49">
        <f>'Kalkulace a Porovnání'!AA104</f>
        <v>0</v>
      </c>
      <c r="AB104" s="32">
        <f>'Kalkulace a Porovnání'!AB104</f>
        <v>0</v>
      </c>
      <c r="AC104" s="183"/>
      <c r="AD104" s="547"/>
      <c r="AG104" s="972"/>
      <c r="AH104" s="972"/>
      <c r="AI104" s="342"/>
      <c r="AJ104" s="342"/>
      <c r="AK104" s="547"/>
      <c r="AL104" s="183"/>
    </row>
    <row r="105" spans="2:38" x14ac:dyDescent="0.25">
      <c r="B105" s="12" t="s">
        <v>45</v>
      </c>
      <c r="C105" s="12" t="s">
        <v>46</v>
      </c>
      <c r="D105" s="3" t="s">
        <v>10</v>
      </c>
      <c r="E105" s="49">
        <f>'Kalkulace a Porovnání'!E105</f>
        <v>0</v>
      </c>
      <c r="F105" s="49">
        <f>'Kalkulace a Porovnání'!F105</f>
        <v>0</v>
      </c>
      <c r="G105" s="49">
        <f>'Kalkulace a Porovnání'!G105</f>
        <v>0</v>
      </c>
      <c r="H105" s="32">
        <f>'Kalkulace a Porovnání'!H105</f>
        <v>0</v>
      </c>
      <c r="K105" s="12" t="s">
        <v>45</v>
      </c>
      <c r="L105" s="12" t="s">
        <v>46</v>
      </c>
      <c r="M105" s="3" t="s">
        <v>10</v>
      </c>
      <c r="N105" s="49">
        <f>'Kalkulace a Porovnání'!N105</f>
        <v>0</v>
      </c>
      <c r="O105" s="49">
        <f>'Kalkulace a Porovnání'!O105</f>
        <v>0</v>
      </c>
      <c r="P105" s="49">
        <f>'Kalkulace a Porovnání'!P105</f>
        <v>0</v>
      </c>
      <c r="Q105" s="32">
        <f>'Kalkulace a Porovnání'!Q105</f>
        <v>0</v>
      </c>
      <c r="T105" s="12" t="s">
        <v>45</v>
      </c>
      <c r="U105" s="12" t="s">
        <v>46</v>
      </c>
      <c r="V105" s="3" t="s">
        <v>10</v>
      </c>
      <c r="W105" s="49">
        <f>'Kalkulace a Porovnání'!W105</f>
        <v>0</v>
      </c>
      <c r="X105" s="49">
        <f>'Kalkulace a Porovnání'!X105</f>
        <v>0</v>
      </c>
      <c r="Y105" s="49">
        <f>'Kalkulace a Porovnání'!Y105</f>
        <v>0</v>
      </c>
      <c r="Z105" s="49">
        <f>'Kalkulace a Porovnání'!Z105</f>
        <v>0</v>
      </c>
      <c r="AA105" s="49">
        <f>'Kalkulace a Porovnání'!AA105</f>
        <v>0</v>
      </c>
      <c r="AB105" s="32">
        <f>'Kalkulace a Porovnání'!AB105</f>
        <v>0</v>
      </c>
      <c r="AC105" s="183"/>
      <c r="AD105" s="547"/>
      <c r="AG105" s="972"/>
      <c r="AH105" s="972"/>
      <c r="AI105" s="342"/>
      <c r="AJ105" s="342"/>
      <c r="AK105" s="547"/>
      <c r="AL105" s="183"/>
    </row>
    <row r="106" spans="2:38" x14ac:dyDescent="0.25">
      <c r="B106" s="12" t="s">
        <v>47</v>
      </c>
      <c r="C106" s="13" t="s">
        <v>48</v>
      </c>
      <c r="D106" s="3" t="s">
        <v>10</v>
      </c>
      <c r="E106" s="49">
        <f>'Kalkulace a Porovnání'!E106</f>
        <v>0</v>
      </c>
      <c r="F106" s="49">
        <f>'Kalkulace a Porovnání'!F106</f>
        <v>0</v>
      </c>
      <c r="G106" s="49">
        <f>'Kalkulace a Porovnání'!G106</f>
        <v>0</v>
      </c>
      <c r="H106" s="32">
        <f>'Kalkulace a Porovnání'!H106</f>
        <v>0</v>
      </c>
      <c r="K106" s="12" t="s">
        <v>47</v>
      </c>
      <c r="L106" s="13" t="s">
        <v>48</v>
      </c>
      <c r="M106" s="3" t="s">
        <v>10</v>
      </c>
      <c r="N106" s="49">
        <f>'Kalkulace a Porovnání'!N106</f>
        <v>0</v>
      </c>
      <c r="O106" s="49">
        <f>'Kalkulace a Porovnání'!O106</f>
        <v>0</v>
      </c>
      <c r="P106" s="49">
        <f>'Kalkulace a Porovnání'!P106</f>
        <v>0</v>
      </c>
      <c r="Q106" s="32">
        <f>'Kalkulace a Porovnání'!Q106</f>
        <v>0</v>
      </c>
      <c r="T106" s="12" t="s">
        <v>47</v>
      </c>
      <c r="U106" s="13" t="s">
        <v>48</v>
      </c>
      <c r="V106" s="3" t="s">
        <v>10</v>
      </c>
      <c r="W106" s="49">
        <f>'Kalkulace a Porovnání'!W106</f>
        <v>0</v>
      </c>
      <c r="X106" s="49">
        <f>'Kalkulace a Porovnání'!X106</f>
        <v>0</v>
      </c>
      <c r="Y106" s="49">
        <f>'Kalkulace a Porovnání'!Y106</f>
        <v>0</v>
      </c>
      <c r="Z106" s="49">
        <f>'Kalkulace a Porovnání'!Z106</f>
        <v>0</v>
      </c>
      <c r="AA106" s="49">
        <f>'Kalkulace a Porovnání'!AA106</f>
        <v>0</v>
      </c>
      <c r="AB106" s="32">
        <f>'Kalkulace a Porovnání'!AB106</f>
        <v>0</v>
      </c>
      <c r="AC106" s="183"/>
      <c r="AD106" s="547"/>
      <c r="AG106" s="545"/>
      <c r="AH106" s="545"/>
      <c r="AI106" s="342"/>
      <c r="AJ106" s="342"/>
      <c r="AK106" s="547"/>
      <c r="AL106" s="183"/>
    </row>
    <row r="107" spans="2:38" x14ac:dyDescent="0.25">
      <c r="B107" s="9" t="s">
        <v>49</v>
      </c>
      <c r="C107" s="10" t="s">
        <v>50</v>
      </c>
      <c r="D107" s="11" t="s">
        <v>10</v>
      </c>
      <c r="E107" s="49">
        <f>'Kalkulace a Porovnání'!E107</f>
        <v>0</v>
      </c>
      <c r="F107" s="49">
        <f>'Kalkulace a Porovnání'!F107</f>
        <v>0</v>
      </c>
      <c r="G107" s="49">
        <f>'Kalkulace a Porovnání'!G107</f>
        <v>0</v>
      </c>
      <c r="H107" s="32">
        <f>'Kalkulace a Porovnání'!H107</f>
        <v>0</v>
      </c>
      <c r="K107" s="9" t="s">
        <v>49</v>
      </c>
      <c r="L107" s="10" t="s">
        <v>50</v>
      </c>
      <c r="M107" s="11" t="s">
        <v>10</v>
      </c>
      <c r="N107" s="49">
        <f>'Kalkulace a Porovnání'!N107</f>
        <v>0</v>
      </c>
      <c r="O107" s="49">
        <f>'Kalkulace a Porovnání'!O107</f>
        <v>0</v>
      </c>
      <c r="P107" s="49">
        <f>'Kalkulace a Porovnání'!P107</f>
        <v>0</v>
      </c>
      <c r="Q107" s="32">
        <f>'Kalkulace a Porovnání'!Q107</f>
        <v>0</v>
      </c>
      <c r="T107" s="9" t="s">
        <v>49</v>
      </c>
      <c r="U107" s="10" t="s">
        <v>50</v>
      </c>
      <c r="V107" s="11" t="s">
        <v>10</v>
      </c>
      <c r="W107" s="49">
        <f>'Kalkulace a Porovnání'!W107</f>
        <v>0</v>
      </c>
      <c r="X107" s="49">
        <f>'Kalkulace a Porovnání'!X107</f>
        <v>0</v>
      </c>
      <c r="Y107" s="49">
        <f>'Kalkulace a Porovnání'!Y107</f>
        <v>0</v>
      </c>
      <c r="Z107" s="49">
        <f>'Kalkulace a Porovnání'!Z107</f>
        <v>0</v>
      </c>
      <c r="AA107" s="49">
        <f>'Kalkulace a Porovnání'!AA107</f>
        <v>0</v>
      </c>
      <c r="AB107" s="32">
        <f>'Kalkulace a Porovnání'!AB107</f>
        <v>0</v>
      </c>
      <c r="AC107" s="183"/>
      <c r="AD107" s="547"/>
      <c r="AG107" s="184"/>
      <c r="AH107" s="184"/>
      <c r="AI107" s="342"/>
      <c r="AJ107" s="342"/>
      <c r="AK107" s="547"/>
      <c r="AL107" s="183"/>
    </row>
    <row r="108" spans="2:38" x14ac:dyDescent="0.25">
      <c r="B108" s="9" t="s">
        <v>51</v>
      </c>
      <c r="C108" s="10" t="s">
        <v>52</v>
      </c>
      <c r="D108" s="11" t="s">
        <v>10</v>
      </c>
      <c r="E108" s="49">
        <f>'Kalkulace a Porovnání'!E108</f>
        <v>0</v>
      </c>
      <c r="F108" s="49">
        <f>'Kalkulace a Porovnání'!F108</f>
        <v>0</v>
      </c>
      <c r="G108" s="49">
        <f>'Kalkulace a Porovnání'!G108</f>
        <v>0</v>
      </c>
      <c r="H108" s="32">
        <f>'Kalkulace a Porovnání'!H108</f>
        <v>0</v>
      </c>
      <c r="K108" s="9" t="s">
        <v>51</v>
      </c>
      <c r="L108" s="10" t="s">
        <v>52</v>
      </c>
      <c r="M108" s="11" t="s">
        <v>10</v>
      </c>
      <c r="N108" s="49">
        <f>'Kalkulace a Porovnání'!N108</f>
        <v>0</v>
      </c>
      <c r="O108" s="49">
        <f>'Kalkulace a Porovnání'!O108</f>
        <v>0</v>
      </c>
      <c r="P108" s="49">
        <f>'Kalkulace a Porovnání'!P108</f>
        <v>0</v>
      </c>
      <c r="Q108" s="32">
        <f>'Kalkulace a Porovnání'!Q108</f>
        <v>0</v>
      </c>
      <c r="T108" s="9" t="s">
        <v>51</v>
      </c>
      <c r="U108" s="10" t="s">
        <v>52</v>
      </c>
      <c r="V108" s="11" t="s">
        <v>10</v>
      </c>
      <c r="W108" s="49">
        <f>'Kalkulace a Porovnání'!W108</f>
        <v>0</v>
      </c>
      <c r="X108" s="49">
        <f>'Kalkulace a Porovnání'!X108</f>
        <v>0</v>
      </c>
      <c r="Y108" s="49">
        <f>'Kalkulace a Porovnání'!Y108</f>
        <v>0</v>
      </c>
      <c r="Z108" s="49">
        <f>'Kalkulace a Porovnání'!Z108</f>
        <v>0</v>
      </c>
      <c r="AA108" s="49">
        <f>'Kalkulace a Porovnání'!AA108</f>
        <v>0</v>
      </c>
      <c r="AB108" s="32">
        <f>'Kalkulace a Porovnání'!AB108</f>
        <v>0</v>
      </c>
      <c r="AC108" s="183"/>
      <c r="AD108" s="547"/>
      <c r="AG108" s="184"/>
      <c r="AH108" s="184"/>
      <c r="AI108" s="342"/>
      <c r="AJ108" s="342"/>
      <c r="AK108" s="547"/>
      <c r="AL108" s="183"/>
    </row>
    <row r="109" spans="2:38" x14ac:dyDescent="0.25">
      <c r="B109" s="9" t="s">
        <v>53</v>
      </c>
      <c r="C109" s="10" t="s">
        <v>54</v>
      </c>
      <c r="D109" s="11" t="s">
        <v>10</v>
      </c>
      <c r="E109" s="49">
        <f>'Kalkulace a Porovnání'!E109</f>
        <v>0</v>
      </c>
      <c r="F109" s="49">
        <f>'Kalkulace a Porovnání'!F109</f>
        <v>0</v>
      </c>
      <c r="G109" s="49">
        <f>'Kalkulace a Porovnání'!G109</f>
        <v>0</v>
      </c>
      <c r="H109" s="32">
        <f>'Kalkulace a Porovnání'!H109</f>
        <v>0</v>
      </c>
      <c r="K109" s="9" t="s">
        <v>53</v>
      </c>
      <c r="L109" s="10" t="s">
        <v>54</v>
      </c>
      <c r="M109" s="11" t="s">
        <v>10</v>
      </c>
      <c r="N109" s="49">
        <f>'Kalkulace a Porovnání'!N109</f>
        <v>0</v>
      </c>
      <c r="O109" s="49">
        <f>'Kalkulace a Porovnání'!O109</f>
        <v>0</v>
      </c>
      <c r="P109" s="49">
        <f>'Kalkulace a Porovnání'!P109</f>
        <v>0</v>
      </c>
      <c r="Q109" s="32">
        <f>'Kalkulace a Porovnání'!Q109</f>
        <v>0</v>
      </c>
      <c r="T109" s="9" t="s">
        <v>53</v>
      </c>
      <c r="U109" s="10" t="s">
        <v>54</v>
      </c>
      <c r="V109" s="11" t="s">
        <v>10</v>
      </c>
      <c r="W109" s="49">
        <f>'Kalkulace a Porovnání'!W109</f>
        <v>0</v>
      </c>
      <c r="X109" s="49">
        <f>'Kalkulace a Porovnání'!X109</f>
        <v>0</v>
      </c>
      <c r="Y109" s="49">
        <f>'Kalkulace a Porovnání'!Y109</f>
        <v>0</v>
      </c>
      <c r="Z109" s="49">
        <f>'Kalkulace a Porovnání'!Z109</f>
        <v>0</v>
      </c>
      <c r="AA109" s="49">
        <f>'Kalkulace a Porovnání'!AA109</f>
        <v>0</v>
      </c>
      <c r="AB109" s="32">
        <f>'Kalkulace a Porovnání'!AB109</f>
        <v>0</v>
      </c>
      <c r="AC109" s="183"/>
      <c r="AD109" s="547"/>
      <c r="AG109" s="184"/>
      <c r="AH109" s="184"/>
      <c r="AI109" s="342"/>
      <c r="AJ109" s="342"/>
      <c r="AK109" s="547"/>
      <c r="AL109" s="183"/>
    </row>
    <row r="110" spans="2:38" x14ac:dyDescent="0.25">
      <c r="B110" s="9" t="s">
        <v>55</v>
      </c>
      <c r="C110" s="10" t="s">
        <v>56</v>
      </c>
      <c r="D110" s="11" t="s">
        <v>10</v>
      </c>
      <c r="E110" s="49">
        <f>'Kalkulace a Porovnání'!E110</f>
        <v>0</v>
      </c>
      <c r="F110" s="49">
        <f>'Kalkulace a Porovnání'!F110</f>
        <v>0</v>
      </c>
      <c r="G110" s="49">
        <f>'Kalkulace a Porovnání'!G110</f>
        <v>0</v>
      </c>
      <c r="H110" s="32">
        <f>'Kalkulace a Porovnání'!H110</f>
        <v>0</v>
      </c>
      <c r="K110" s="9" t="s">
        <v>55</v>
      </c>
      <c r="L110" s="10" t="s">
        <v>56</v>
      </c>
      <c r="M110" s="11" t="s">
        <v>10</v>
      </c>
      <c r="N110" s="49">
        <f>'Kalkulace a Porovnání'!N110</f>
        <v>0</v>
      </c>
      <c r="O110" s="49">
        <f>'Kalkulace a Porovnání'!O110</f>
        <v>0</v>
      </c>
      <c r="P110" s="49">
        <f>'Kalkulace a Porovnání'!P110</f>
        <v>0</v>
      </c>
      <c r="Q110" s="32">
        <f>'Kalkulace a Porovnání'!Q110</f>
        <v>0</v>
      </c>
      <c r="T110" s="9" t="s">
        <v>55</v>
      </c>
      <c r="U110" s="10" t="s">
        <v>56</v>
      </c>
      <c r="V110" s="11" t="s">
        <v>10</v>
      </c>
      <c r="W110" s="49">
        <f>'Kalkulace a Porovnání'!W110</f>
        <v>0</v>
      </c>
      <c r="X110" s="49">
        <f>'Kalkulace a Porovnání'!X110</f>
        <v>0</v>
      </c>
      <c r="Y110" s="49">
        <f>'Kalkulace a Porovnání'!Y110</f>
        <v>0</v>
      </c>
      <c r="Z110" s="49">
        <f>'Kalkulace a Porovnání'!Z110</f>
        <v>0</v>
      </c>
      <c r="AA110" s="49">
        <f>'Kalkulace a Porovnání'!AA110</f>
        <v>0</v>
      </c>
      <c r="AB110" s="32">
        <f>'Kalkulace a Porovnání'!AB110</f>
        <v>0</v>
      </c>
      <c r="AC110" s="183"/>
      <c r="AD110" s="547"/>
      <c r="AG110" s="184"/>
      <c r="AH110" s="184"/>
      <c r="AI110" s="342"/>
      <c r="AJ110" s="342"/>
      <c r="AK110" s="547"/>
      <c r="AL110" s="183"/>
    </row>
    <row r="111" spans="2:38" x14ac:dyDescent="0.25">
      <c r="B111" s="9" t="s">
        <v>57</v>
      </c>
      <c r="C111" s="10" t="s">
        <v>58</v>
      </c>
      <c r="D111" s="11" t="s">
        <v>10</v>
      </c>
      <c r="E111" s="46">
        <f>'Kalkulace a Porovnání'!E111</f>
        <v>0</v>
      </c>
      <c r="F111" s="46">
        <f>'Kalkulace a Porovnání'!F111</f>
        <v>0</v>
      </c>
      <c r="G111" s="46">
        <f>'Kalkulace a Porovnání'!G111</f>
        <v>0</v>
      </c>
      <c r="H111" s="98">
        <f>'Kalkulace a Porovnání'!H111</f>
        <v>0.43</v>
      </c>
      <c r="K111" s="9" t="s">
        <v>57</v>
      </c>
      <c r="L111" s="10" t="s">
        <v>58</v>
      </c>
      <c r="M111" s="11" t="s">
        <v>10</v>
      </c>
      <c r="N111" s="46">
        <f>'Kalkulace a Porovnání'!N111</f>
        <v>0</v>
      </c>
      <c r="O111" s="46">
        <f>'Kalkulace a Porovnání'!O111</f>
        <v>0</v>
      </c>
      <c r="P111" s="46">
        <f>'Kalkulace a Porovnání'!P111</f>
        <v>0</v>
      </c>
      <c r="Q111" s="98">
        <f>'Kalkulace a Porovnání'!Q111</f>
        <v>0</v>
      </c>
      <c r="T111" s="9" t="s">
        <v>57</v>
      </c>
      <c r="U111" s="10" t="s">
        <v>58</v>
      </c>
      <c r="V111" s="11" t="s">
        <v>10</v>
      </c>
      <c r="W111" s="46">
        <f>'Kalkulace a Porovnání'!W111</f>
        <v>0</v>
      </c>
      <c r="X111" s="46">
        <f>'Kalkulace a Porovnání'!X111</f>
        <v>0</v>
      </c>
      <c r="Y111" s="46">
        <f>'Kalkulace a Porovnání'!Y111</f>
        <v>0</v>
      </c>
      <c r="Z111" s="46">
        <f>'Kalkulace a Porovnání'!Z111</f>
        <v>0</v>
      </c>
      <c r="AA111" s="46">
        <f>'Kalkulace a Porovnání'!AA111</f>
        <v>0.43</v>
      </c>
      <c r="AB111" s="98">
        <f>'Kalkulace a Porovnání'!AB111</f>
        <v>-0.43</v>
      </c>
      <c r="AC111" s="183"/>
      <c r="AD111" s="547"/>
      <c r="AG111" s="184"/>
      <c r="AH111" s="184"/>
      <c r="AI111" s="342"/>
      <c r="AJ111" s="342"/>
      <c r="AK111" s="547"/>
      <c r="AL111" s="183"/>
    </row>
    <row r="112" spans="2:38" x14ac:dyDescent="0.25">
      <c r="B112" s="12" t="s">
        <v>59</v>
      </c>
      <c r="C112" s="13" t="s">
        <v>112</v>
      </c>
      <c r="D112" s="3" t="s">
        <v>10</v>
      </c>
      <c r="E112" s="437">
        <f>'Kalkulace a Porovnání'!E112</f>
        <v>0</v>
      </c>
      <c r="F112" s="437">
        <f>'Kalkulace a Porovnání'!F112</f>
        <v>0</v>
      </c>
      <c r="G112" s="437">
        <f>'Kalkulace a Porovnání'!G112</f>
        <v>0</v>
      </c>
      <c r="H112" s="438">
        <f>'Kalkulace a Porovnání'!H112</f>
        <v>0</v>
      </c>
      <c r="K112" s="12" t="s">
        <v>59</v>
      </c>
      <c r="L112" s="13" t="s">
        <v>112</v>
      </c>
      <c r="M112" s="3" t="s">
        <v>10</v>
      </c>
      <c r="N112" s="437">
        <f>'Kalkulace a Porovnání'!N112</f>
        <v>0</v>
      </c>
      <c r="O112" s="437">
        <f>'Kalkulace a Porovnání'!O112</f>
        <v>0</v>
      </c>
      <c r="P112" s="437">
        <f>'Kalkulace a Porovnání'!P112</f>
        <v>0</v>
      </c>
      <c r="Q112" s="438">
        <f>'Kalkulace a Porovnání'!Q112</f>
        <v>0</v>
      </c>
      <c r="T112" s="12" t="s">
        <v>59</v>
      </c>
      <c r="U112" s="13" t="s">
        <v>112</v>
      </c>
      <c r="V112" s="3" t="s">
        <v>10</v>
      </c>
      <c r="W112" s="437">
        <f>'Kalkulace a Porovnání'!W112</f>
        <v>0</v>
      </c>
      <c r="X112" s="437">
        <f>'Kalkulace a Porovnání'!X112</f>
        <v>0</v>
      </c>
      <c r="Y112" s="437">
        <f>'Kalkulace a Porovnání'!Y112</f>
        <v>0</v>
      </c>
      <c r="Z112" s="437">
        <f>'Kalkulace a Porovnání'!Z112</f>
        <v>0</v>
      </c>
      <c r="AA112" s="437">
        <f>'Kalkulace a Porovnání'!AA112</f>
        <v>0</v>
      </c>
      <c r="AB112" s="438">
        <f>'Kalkulace a Porovnání'!AB112</f>
        <v>0</v>
      </c>
      <c r="AC112" s="183"/>
      <c r="AD112" s="547"/>
      <c r="AG112" s="973"/>
      <c r="AH112" s="973"/>
      <c r="AI112" s="342"/>
      <c r="AJ112" s="342"/>
      <c r="AK112" s="547"/>
      <c r="AL112" s="183"/>
    </row>
    <row r="113" spans="2:38" x14ac:dyDescent="0.25">
      <c r="B113" s="12" t="s">
        <v>60</v>
      </c>
      <c r="C113" s="13" t="s">
        <v>113</v>
      </c>
      <c r="D113" s="3" t="s">
        <v>10</v>
      </c>
      <c r="E113" s="437">
        <f>'Kalkulace a Porovnání'!E113</f>
        <v>0</v>
      </c>
      <c r="F113" s="437">
        <f>'Kalkulace a Porovnání'!F113</f>
        <v>0</v>
      </c>
      <c r="G113" s="437">
        <f>'Kalkulace a Porovnání'!G113</f>
        <v>0</v>
      </c>
      <c r="H113" s="438">
        <f>'Kalkulace a Porovnání'!H113</f>
        <v>0</v>
      </c>
      <c r="K113" s="12" t="s">
        <v>60</v>
      </c>
      <c r="L113" s="13" t="s">
        <v>113</v>
      </c>
      <c r="M113" s="3" t="s">
        <v>10</v>
      </c>
      <c r="N113" s="437">
        <f>'Kalkulace a Porovnání'!N113</f>
        <v>0</v>
      </c>
      <c r="O113" s="437">
        <f>'Kalkulace a Porovnání'!O113</f>
        <v>0</v>
      </c>
      <c r="P113" s="437">
        <f>'Kalkulace a Porovnání'!P113</f>
        <v>0</v>
      </c>
      <c r="Q113" s="438">
        <f>'Kalkulace a Porovnání'!Q113</f>
        <v>0</v>
      </c>
      <c r="T113" s="12" t="s">
        <v>60</v>
      </c>
      <c r="U113" s="13" t="s">
        <v>113</v>
      </c>
      <c r="V113" s="3" t="s">
        <v>10</v>
      </c>
      <c r="W113" s="437">
        <f>'Kalkulace a Porovnání'!W113</f>
        <v>0</v>
      </c>
      <c r="X113" s="437">
        <f>'Kalkulace a Porovnání'!X113</f>
        <v>0</v>
      </c>
      <c r="Y113" s="437">
        <f>'Kalkulace a Porovnání'!Y113</f>
        <v>0</v>
      </c>
      <c r="Z113" s="437">
        <f>'Kalkulace a Porovnání'!Z113</f>
        <v>0</v>
      </c>
      <c r="AA113" s="437">
        <f>'Kalkulace a Porovnání'!AA113</f>
        <v>0</v>
      </c>
      <c r="AB113" s="438">
        <f>'Kalkulace a Porovnání'!AB113</f>
        <v>0</v>
      </c>
      <c r="AC113" s="183"/>
      <c r="AD113" s="547"/>
      <c r="AG113" s="973"/>
      <c r="AH113" s="973"/>
      <c r="AI113" s="342"/>
      <c r="AJ113" s="342"/>
      <c r="AK113" s="547"/>
      <c r="AL113" s="183"/>
    </row>
    <row r="114" spans="2:38" x14ac:dyDescent="0.25">
      <c r="B114" s="12" t="s">
        <v>61</v>
      </c>
      <c r="C114" s="13" t="s">
        <v>62</v>
      </c>
      <c r="D114" s="3" t="s">
        <v>63</v>
      </c>
      <c r="E114" s="439">
        <f>'Kalkulace a Porovnání'!E114</f>
        <v>0</v>
      </c>
      <c r="F114" s="439">
        <f>'Kalkulace a Porovnání'!F114</f>
        <v>0</v>
      </c>
      <c r="G114" s="439">
        <f>'Kalkulace a Porovnání'!G114</f>
        <v>0</v>
      </c>
      <c r="H114" s="440">
        <f>'Kalkulace a Porovnání'!H114</f>
        <v>0</v>
      </c>
      <c r="K114" s="12" t="s">
        <v>61</v>
      </c>
      <c r="L114" s="13" t="s">
        <v>62</v>
      </c>
      <c r="M114" s="3" t="s">
        <v>63</v>
      </c>
      <c r="N114" s="439">
        <f>'Kalkulace a Porovnání'!N114</f>
        <v>0</v>
      </c>
      <c r="O114" s="439">
        <f>'Kalkulace a Porovnání'!O114</f>
        <v>0</v>
      </c>
      <c r="P114" s="439">
        <f>'Kalkulace a Porovnání'!P114</f>
        <v>0</v>
      </c>
      <c r="Q114" s="440">
        <f>'Kalkulace a Porovnání'!Q114</f>
        <v>0</v>
      </c>
      <c r="T114" s="12" t="s">
        <v>61</v>
      </c>
      <c r="U114" s="13" t="s">
        <v>62</v>
      </c>
      <c r="V114" s="3" t="s">
        <v>63</v>
      </c>
      <c r="W114" s="439">
        <f>'Kalkulace a Porovnání'!W114</f>
        <v>0</v>
      </c>
      <c r="X114" s="439">
        <f>'Kalkulace a Porovnání'!X114</f>
        <v>0</v>
      </c>
      <c r="Y114" s="439">
        <f>'Kalkulace a Porovnání'!Y114</f>
        <v>0</v>
      </c>
      <c r="Z114" s="439">
        <f>'Kalkulace a Porovnání'!Z114</f>
        <v>0</v>
      </c>
      <c r="AA114" s="439">
        <f>'Kalkulace a Porovnání'!AA114</f>
        <v>0</v>
      </c>
      <c r="AB114" s="440">
        <f>'Kalkulace a Porovnání'!AB114</f>
        <v>0</v>
      </c>
      <c r="AC114" s="183"/>
      <c r="AD114" s="547"/>
      <c r="AG114" s="972"/>
      <c r="AH114" s="972"/>
      <c r="AI114" s="342"/>
      <c r="AJ114" s="342"/>
      <c r="AK114" s="547"/>
      <c r="AL114" s="183"/>
    </row>
    <row r="115" spans="2:38" x14ac:dyDescent="0.25">
      <c r="B115" s="12" t="s">
        <v>64</v>
      </c>
      <c r="C115" s="13" t="s">
        <v>65</v>
      </c>
      <c r="D115" s="3" t="s">
        <v>66</v>
      </c>
      <c r="E115" s="49">
        <f>'Kalkulace a Porovnání'!E115</f>
        <v>0</v>
      </c>
      <c r="F115" s="49">
        <f>'Kalkulace a Porovnání'!F115</f>
        <v>0</v>
      </c>
      <c r="G115" s="49">
        <f>'Kalkulace a Porovnání'!G115</f>
        <v>0</v>
      </c>
      <c r="H115" s="32">
        <f>'Kalkulace a Porovnání'!H115</f>
        <v>0</v>
      </c>
      <c r="K115" s="12" t="s">
        <v>64</v>
      </c>
      <c r="L115" s="13" t="s">
        <v>65</v>
      </c>
      <c r="M115" s="3" t="s">
        <v>66</v>
      </c>
      <c r="N115" s="49">
        <f>'Kalkulace a Porovnání'!N115</f>
        <v>0</v>
      </c>
      <c r="O115" s="49">
        <f>'Kalkulace a Porovnání'!O115</f>
        <v>0</v>
      </c>
      <c r="P115" s="49">
        <f>'Kalkulace a Porovnání'!P115</f>
        <v>0</v>
      </c>
      <c r="Q115" s="32">
        <f>'Kalkulace a Porovnání'!Q115</f>
        <v>0</v>
      </c>
      <c r="T115" s="12" t="s">
        <v>64</v>
      </c>
      <c r="U115" s="13" t="s">
        <v>65</v>
      </c>
      <c r="V115" s="3" t="s">
        <v>66</v>
      </c>
      <c r="W115" s="49">
        <f>'Kalkulace a Porovnání'!W115</f>
        <v>0</v>
      </c>
      <c r="X115" s="49">
        <f>'Kalkulace a Porovnání'!X115</f>
        <v>0</v>
      </c>
      <c r="Y115" s="49">
        <f>'Kalkulace a Porovnání'!Y115</f>
        <v>0</v>
      </c>
      <c r="Z115" s="49">
        <f>'Kalkulace a Porovnání'!Z115</f>
        <v>0</v>
      </c>
      <c r="AA115" s="49">
        <f>'Kalkulace a Porovnání'!AA115</f>
        <v>0</v>
      </c>
      <c r="AB115" s="32">
        <f>'Kalkulace a Porovnání'!AB115</f>
        <v>0</v>
      </c>
      <c r="AC115" s="183"/>
      <c r="AD115" s="547"/>
      <c r="AG115" s="972"/>
      <c r="AH115" s="972"/>
      <c r="AI115" s="342"/>
      <c r="AJ115" s="342"/>
      <c r="AK115" s="547"/>
      <c r="AL115" s="183"/>
    </row>
    <row r="116" spans="2:38" x14ac:dyDescent="0.25">
      <c r="B116" s="12" t="s">
        <v>67</v>
      </c>
      <c r="C116" s="13" t="s">
        <v>68</v>
      </c>
      <c r="D116" s="3" t="s">
        <v>66</v>
      </c>
      <c r="E116" s="49">
        <f>'Kalkulace a Porovnání'!E116</f>
        <v>0</v>
      </c>
      <c r="F116" s="49">
        <f>'Kalkulace a Porovnání'!F116</f>
        <v>0</v>
      </c>
      <c r="G116" s="49">
        <f>'Kalkulace a Porovnání'!G116</f>
        <v>0</v>
      </c>
      <c r="H116" s="32">
        <f>'Kalkulace a Porovnání'!H116</f>
        <v>0</v>
      </c>
      <c r="K116" s="12" t="s">
        <v>67</v>
      </c>
      <c r="L116" s="13" t="s">
        <v>68</v>
      </c>
      <c r="M116" s="3" t="s">
        <v>66</v>
      </c>
      <c r="N116" s="49">
        <f>'Kalkulace a Porovnání'!N116</f>
        <v>0</v>
      </c>
      <c r="O116" s="49">
        <f>'Kalkulace a Porovnání'!O116</f>
        <v>0</v>
      </c>
      <c r="P116" s="49">
        <f>'Kalkulace a Porovnání'!P116</f>
        <v>0</v>
      </c>
      <c r="Q116" s="32">
        <f>'Kalkulace a Porovnání'!Q116</f>
        <v>0</v>
      </c>
      <c r="T116" s="12" t="s">
        <v>67</v>
      </c>
      <c r="U116" s="13" t="s">
        <v>68</v>
      </c>
      <c r="V116" s="3" t="s">
        <v>66</v>
      </c>
      <c r="W116" s="49">
        <f>'Kalkulace a Porovnání'!W116</f>
        <v>0</v>
      </c>
      <c r="X116" s="49">
        <f>'Kalkulace a Porovnání'!X116</f>
        <v>0</v>
      </c>
      <c r="Y116" s="49">
        <f>'Kalkulace a Porovnání'!Y116</f>
        <v>0</v>
      </c>
      <c r="Z116" s="49">
        <f>'Kalkulace a Porovnání'!Z116</f>
        <v>0</v>
      </c>
      <c r="AA116" s="49">
        <f>'Kalkulace a Porovnání'!AA116</f>
        <v>0</v>
      </c>
      <c r="AB116" s="32">
        <f>'Kalkulace a Porovnání'!AB116</f>
        <v>0</v>
      </c>
      <c r="AC116" s="183"/>
      <c r="AD116" s="547"/>
      <c r="AG116" s="184"/>
      <c r="AH116" s="184"/>
      <c r="AI116" s="342"/>
      <c r="AJ116" s="342"/>
      <c r="AK116" s="547"/>
      <c r="AL116" s="183"/>
    </row>
    <row r="117" spans="2:38" x14ac:dyDescent="0.25">
      <c r="B117" s="12" t="s">
        <v>69</v>
      </c>
      <c r="C117" s="13" t="s">
        <v>70</v>
      </c>
      <c r="D117" s="3" t="s">
        <v>66</v>
      </c>
      <c r="E117" s="49">
        <f>'Kalkulace a Porovnání'!E117</f>
        <v>0</v>
      </c>
      <c r="F117" s="49">
        <f>'Kalkulace a Porovnání'!F117</f>
        <v>0</v>
      </c>
      <c r="G117" s="49">
        <f>'Kalkulace a Porovnání'!G117</f>
        <v>0</v>
      </c>
      <c r="H117" s="32">
        <f>'Kalkulace a Porovnání'!H117</f>
        <v>1.4E-2</v>
      </c>
      <c r="K117" s="12" t="s">
        <v>69</v>
      </c>
      <c r="L117" s="13" t="s">
        <v>70</v>
      </c>
      <c r="M117" s="3" t="s">
        <v>66</v>
      </c>
      <c r="N117" s="49">
        <f>'Kalkulace a Porovnání'!N117</f>
        <v>0</v>
      </c>
      <c r="O117" s="49">
        <f>'Kalkulace a Porovnání'!O117</f>
        <v>0</v>
      </c>
      <c r="P117" s="49">
        <f>'Kalkulace a Porovnání'!P117</f>
        <v>0</v>
      </c>
      <c r="Q117" s="32">
        <f>'Kalkulace a Porovnání'!Q117</f>
        <v>0</v>
      </c>
      <c r="T117" s="12" t="s">
        <v>69</v>
      </c>
      <c r="U117" s="13" t="s">
        <v>70</v>
      </c>
      <c r="V117" s="3" t="s">
        <v>66</v>
      </c>
      <c r="W117" s="49">
        <f>'Kalkulace a Porovnání'!W117</f>
        <v>0</v>
      </c>
      <c r="X117" s="49">
        <f>'Kalkulace a Porovnání'!X117</f>
        <v>0</v>
      </c>
      <c r="Y117" s="49">
        <f>'Kalkulace a Porovnání'!Y117</f>
        <v>0</v>
      </c>
      <c r="Z117" s="49">
        <f>'Kalkulace a Porovnání'!Z117</f>
        <v>0</v>
      </c>
      <c r="AA117" s="49">
        <f>'Kalkulace a Porovnání'!AA117</f>
        <v>1.4E-2</v>
      </c>
      <c r="AB117" s="32">
        <f>'Kalkulace a Porovnání'!AB117</f>
        <v>-1.4E-2</v>
      </c>
      <c r="AC117" s="183"/>
      <c r="AD117" s="547"/>
      <c r="AG117" s="549"/>
      <c r="AH117" s="549"/>
      <c r="AI117" s="342"/>
      <c r="AJ117" s="342"/>
      <c r="AK117" s="547"/>
      <c r="AL117" s="183"/>
    </row>
    <row r="118" spans="2:38" x14ac:dyDescent="0.25">
      <c r="B118" s="12" t="s">
        <v>71</v>
      </c>
      <c r="C118" s="13" t="s">
        <v>68</v>
      </c>
      <c r="D118" s="3" t="s">
        <v>66</v>
      </c>
      <c r="E118" s="49">
        <f>'Kalkulace a Porovnání'!E118</f>
        <v>0</v>
      </c>
      <c r="F118" s="49">
        <f>'Kalkulace a Porovnání'!F118</f>
        <v>0</v>
      </c>
      <c r="G118" s="49">
        <f>'Kalkulace a Porovnání'!G118</f>
        <v>0</v>
      </c>
      <c r="H118" s="32">
        <f>'Kalkulace a Porovnání'!H118</f>
        <v>7.4190000000000002E-3</v>
      </c>
      <c r="K118" s="12" t="s">
        <v>71</v>
      </c>
      <c r="L118" s="13" t="s">
        <v>68</v>
      </c>
      <c r="M118" s="3" t="s">
        <v>66</v>
      </c>
      <c r="N118" s="49">
        <f>'Kalkulace a Porovnání'!N118</f>
        <v>0</v>
      </c>
      <c r="O118" s="49">
        <f>'Kalkulace a Porovnání'!O118</f>
        <v>0</v>
      </c>
      <c r="P118" s="49">
        <f>'Kalkulace a Porovnání'!P118</f>
        <v>0</v>
      </c>
      <c r="Q118" s="32">
        <f>'Kalkulace a Porovnání'!Q118</f>
        <v>0</v>
      </c>
      <c r="T118" s="12" t="s">
        <v>71</v>
      </c>
      <c r="U118" s="13" t="s">
        <v>68</v>
      </c>
      <c r="V118" s="3" t="s">
        <v>66</v>
      </c>
      <c r="W118" s="49">
        <f>'Kalkulace a Porovnání'!W118</f>
        <v>0</v>
      </c>
      <c r="X118" s="49">
        <f>'Kalkulace a Porovnání'!X118</f>
        <v>0</v>
      </c>
      <c r="Y118" s="49">
        <f>'Kalkulace a Porovnání'!Y118</f>
        <v>0</v>
      </c>
      <c r="Z118" s="49">
        <f>'Kalkulace a Porovnání'!Z118</f>
        <v>0</v>
      </c>
      <c r="AA118" s="49">
        <f>'Kalkulace a Porovnání'!AA118</f>
        <v>7.4190000000000002E-3</v>
      </c>
      <c r="AB118" s="32">
        <f>'Kalkulace a Porovnání'!AB118</f>
        <v>-7.4190000000000002E-3</v>
      </c>
      <c r="AC118" s="183"/>
      <c r="AD118" s="547"/>
      <c r="AG118" s="546"/>
      <c r="AH118" s="546"/>
      <c r="AI118" s="342"/>
      <c r="AJ118" s="342"/>
      <c r="AK118" s="547"/>
      <c r="AL118" s="183"/>
    </row>
    <row r="119" spans="2:38" x14ac:dyDescent="0.25">
      <c r="B119" s="12" t="s">
        <v>72</v>
      </c>
      <c r="C119" s="13" t="s">
        <v>73</v>
      </c>
      <c r="D119" s="3" t="s">
        <v>66</v>
      </c>
      <c r="E119" s="49">
        <f>'Kalkulace a Porovnání'!E119</f>
        <v>0</v>
      </c>
      <c r="F119" s="49">
        <f>'Kalkulace a Porovnání'!F119</f>
        <v>0</v>
      </c>
      <c r="G119" s="49">
        <f>'Kalkulace a Porovnání'!G119</f>
        <v>0</v>
      </c>
      <c r="H119" s="32">
        <f>'Kalkulace a Porovnání'!H119</f>
        <v>0</v>
      </c>
      <c r="K119" s="12" t="s">
        <v>72</v>
      </c>
      <c r="L119" s="13" t="s">
        <v>73</v>
      </c>
      <c r="M119" s="3" t="s">
        <v>66</v>
      </c>
      <c r="N119" s="49">
        <f>'Kalkulace a Porovnání'!N119</f>
        <v>0</v>
      </c>
      <c r="O119" s="49">
        <f>'Kalkulace a Porovnání'!O119</f>
        <v>0</v>
      </c>
      <c r="P119" s="49">
        <f>'Kalkulace a Porovnání'!P119</f>
        <v>0</v>
      </c>
      <c r="Q119" s="32">
        <f>'Kalkulace a Porovnání'!Q119</f>
        <v>0</v>
      </c>
      <c r="T119" s="12" t="s">
        <v>72</v>
      </c>
      <c r="U119" s="13" t="s">
        <v>73</v>
      </c>
      <c r="V119" s="3" t="s">
        <v>66</v>
      </c>
      <c r="W119" s="49">
        <f>'Kalkulace a Porovnání'!W119</f>
        <v>0</v>
      </c>
      <c r="X119" s="49">
        <f>'Kalkulace a Porovnání'!X119</f>
        <v>0</v>
      </c>
      <c r="Y119" s="49">
        <f>'Kalkulace a Porovnání'!Y119</f>
        <v>0</v>
      </c>
      <c r="Z119" s="49">
        <f>'Kalkulace a Porovnání'!Z119</f>
        <v>0</v>
      </c>
      <c r="AA119" s="49">
        <f>'Kalkulace a Porovnání'!AA119</f>
        <v>0</v>
      </c>
      <c r="AB119" s="32">
        <f>'Kalkulace a Porovnání'!AB119</f>
        <v>0</v>
      </c>
      <c r="AC119" s="183"/>
      <c r="AD119" s="547"/>
      <c r="AG119" s="184"/>
      <c r="AH119" s="184"/>
      <c r="AI119" s="549"/>
      <c r="AJ119" s="549"/>
      <c r="AK119" s="547"/>
      <c r="AL119" s="183"/>
    </row>
    <row r="120" spans="2:38" x14ac:dyDescent="0.25">
      <c r="B120" s="12" t="s">
        <v>74</v>
      </c>
      <c r="C120" s="13" t="s">
        <v>75</v>
      </c>
      <c r="D120" s="3" t="s">
        <v>66</v>
      </c>
      <c r="E120" s="49">
        <f>'Kalkulace a Porovnání'!E120</f>
        <v>0</v>
      </c>
      <c r="F120" s="49">
        <f>'Kalkulace a Porovnání'!F120</f>
        <v>0</v>
      </c>
      <c r="G120" s="49">
        <f>'Kalkulace a Porovnání'!G120</f>
        <v>0</v>
      </c>
      <c r="H120" s="32">
        <f>'Kalkulace a Porovnání'!H120</f>
        <v>0</v>
      </c>
      <c r="K120" s="12" t="s">
        <v>74</v>
      </c>
      <c r="L120" s="13" t="s">
        <v>75</v>
      </c>
      <c r="M120" s="3" t="s">
        <v>66</v>
      </c>
      <c r="N120" s="49">
        <f>'Kalkulace a Porovnání'!N120</f>
        <v>0</v>
      </c>
      <c r="O120" s="49">
        <f>'Kalkulace a Porovnání'!O120</f>
        <v>0</v>
      </c>
      <c r="P120" s="49">
        <f>'Kalkulace a Porovnání'!P120</f>
        <v>0</v>
      </c>
      <c r="Q120" s="32">
        <f>'Kalkulace a Porovnání'!Q120</f>
        <v>0</v>
      </c>
      <c r="T120" s="12" t="s">
        <v>74</v>
      </c>
      <c r="U120" s="13" t="s">
        <v>75</v>
      </c>
      <c r="V120" s="3" t="s">
        <v>66</v>
      </c>
      <c r="W120" s="49">
        <f>'Kalkulace a Porovnání'!W120</f>
        <v>0</v>
      </c>
      <c r="X120" s="49">
        <f>'Kalkulace a Porovnání'!X120</f>
        <v>0</v>
      </c>
      <c r="Y120" s="49">
        <f>'Kalkulace a Porovnání'!Y120</f>
        <v>0</v>
      </c>
      <c r="Z120" s="49">
        <f>'Kalkulace a Porovnání'!Z120</f>
        <v>0</v>
      </c>
      <c r="AA120" s="49">
        <f>'Kalkulace a Porovnání'!AA120</f>
        <v>0</v>
      </c>
      <c r="AB120" s="32">
        <f>'Kalkulace a Porovnání'!AB120</f>
        <v>0</v>
      </c>
      <c r="AC120" s="183"/>
      <c r="AD120" s="547"/>
      <c r="AG120" s="184"/>
      <c r="AH120" s="184"/>
      <c r="AI120" s="549"/>
      <c r="AJ120" s="549"/>
      <c r="AK120" s="547"/>
      <c r="AL120" s="183"/>
    </row>
    <row r="121" spans="2:38" x14ac:dyDescent="0.25">
      <c r="B121" s="12" t="s">
        <v>76</v>
      </c>
      <c r="C121" s="13" t="s">
        <v>77</v>
      </c>
      <c r="D121" s="3" t="s">
        <v>66</v>
      </c>
      <c r="E121" s="49">
        <f>'Kalkulace a Porovnání'!E121</f>
        <v>0</v>
      </c>
      <c r="F121" s="49">
        <f>'Kalkulace a Porovnání'!F121</f>
        <v>0</v>
      </c>
      <c r="G121" s="49">
        <f>'Kalkulace a Porovnání'!G121</f>
        <v>0</v>
      </c>
      <c r="H121" s="32">
        <f>'Kalkulace a Porovnání'!H121</f>
        <v>0</v>
      </c>
      <c r="K121" s="12" t="s">
        <v>76</v>
      </c>
      <c r="L121" s="13" t="s">
        <v>77</v>
      </c>
      <c r="M121" s="3" t="s">
        <v>66</v>
      </c>
      <c r="N121" s="49">
        <f>'Kalkulace a Porovnání'!N121</f>
        <v>0</v>
      </c>
      <c r="O121" s="49">
        <f>'Kalkulace a Porovnání'!O121</f>
        <v>0</v>
      </c>
      <c r="P121" s="49">
        <f>'Kalkulace a Porovnání'!P121</f>
        <v>0</v>
      </c>
      <c r="Q121" s="32">
        <f>'Kalkulace a Porovnání'!Q121</f>
        <v>0</v>
      </c>
      <c r="T121" s="12" t="s">
        <v>76</v>
      </c>
      <c r="U121" s="13" t="s">
        <v>77</v>
      </c>
      <c r="V121" s="3" t="s">
        <v>66</v>
      </c>
      <c r="W121" s="49">
        <f>'Kalkulace a Porovnání'!W121</f>
        <v>0</v>
      </c>
      <c r="X121" s="49">
        <f>'Kalkulace a Porovnání'!X121</f>
        <v>0</v>
      </c>
      <c r="Y121" s="49">
        <f>'Kalkulace a Porovnání'!Y121</f>
        <v>0</v>
      </c>
      <c r="Z121" s="49">
        <f>'Kalkulace a Porovnání'!Z121</f>
        <v>0</v>
      </c>
      <c r="AA121" s="49">
        <f>'Kalkulace a Porovnání'!AA121</f>
        <v>0</v>
      </c>
      <c r="AB121" s="32">
        <f>'Kalkulace a Porovnání'!AB121</f>
        <v>0</v>
      </c>
      <c r="AC121" s="183"/>
      <c r="AD121" s="547"/>
      <c r="AG121" s="184"/>
      <c r="AH121" s="184"/>
      <c r="AI121" s="549"/>
      <c r="AJ121" s="549"/>
      <c r="AK121" s="547"/>
      <c r="AL121" s="183"/>
    </row>
    <row r="122" spans="2:38" x14ac:dyDescent="0.25">
      <c r="B122" s="12" t="s">
        <v>78</v>
      </c>
      <c r="C122" s="13" t="s">
        <v>79</v>
      </c>
      <c r="D122" s="3" t="s">
        <v>66</v>
      </c>
      <c r="E122" s="49">
        <f>'Kalkulace a Porovnání'!E122</f>
        <v>0</v>
      </c>
      <c r="F122" s="49">
        <f>'Kalkulace a Porovnání'!F122</f>
        <v>0</v>
      </c>
      <c r="G122" s="49">
        <f>'Kalkulace a Porovnání'!G122</f>
        <v>0</v>
      </c>
      <c r="H122" s="32">
        <f>'Kalkulace a Porovnání'!H122</f>
        <v>1.4E-2</v>
      </c>
      <c r="K122" s="12" t="s">
        <v>78</v>
      </c>
      <c r="L122" s="13" t="s">
        <v>79</v>
      </c>
      <c r="M122" s="3" t="s">
        <v>66</v>
      </c>
      <c r="N122" s="49">
        <f>'Kalkulace a Porovnání'!N122</f>
        <v>0</v>
      </c>
      <c r="O122" s="49">
        <f>'Kalkulace a Porovnání'!O122</f>
        <v>0</v>
      </c>
      <c r="P122" s="49">
        <f>'Kalkulace a Porovnání'!P122</f>
        <v>0</v>
      </c>
      <c r="Q122" s="32">
        <f>'Kalkulace a Porovnání'!Q122</f>
        <v>0</v>
      </c>
      <c r="T122" s="12" t="s">
        <v>78</v>
      </c>
      <c r="U122" s="13" t="s">
        <v>79</v>
      </c>
      <c r="V122" s="3" t="s">
        <v>66</v>
      </c>
      <c r="W122" s="49">
        <f>'Kalkulace a Porovnání'!W122</f>
        <v>0</v>
      </c>
      <c r="X122" s="49">
        <f>'Kalkulace a Porovnání'!X122</f>
        <v>0</v>
      </c>
      <c r="Y122" s="49">
        <f>'Kalkulace a Porovnání'!Y122</f>
        <v>0</v>
      </c>
      <c r="Z122" s="49">
        <f>'Kalkulace a Porovnání'!Z122</f>
        <v>0</v>
      </c>
      <c r="AA122" s="49">
        <f>'Kalkulace a Porovnání'!AA122</f>
        <v>1.4E-2</v>
      </c>
      <c r="AB122" s="32">
        <f>'Kalkulace a Porovnání'!AB122</f>
        <v>-1.4E-2</v>
      </c>
      <c r="AC122" s="183"/>
      <c r="AD122" s="547"/>
      <c r="AG122" s="421"/>
      <c r="AH122" s="421"/>
      <c r="AI122" s="342"/>
      <c r="AJ122" s="342"/>
      <c r="AK122" s="547"/>
      <c r="AL122" s="183"/>
    </row>
    <row r="123" spans="2:38" x14ac:dyDescent="0.25">
      <c r="B123" s="1"/>
      <c r="C123" s="1"/>
      <c r="D123" s="1"/>
      <c r="E123" s="1"/>
      <c r="F123" s="1"/>
      <c r="G123" s="1"/>
      <c r="H123" s="1"/>
      <c r="K123" s="1"/>
      <c r="L123" s="1"/>
      <c r="M123" s="1"/>
      <c r="N123" s="1"/>
      <c r="O123" s="1"/>
      <c r="P123" s="1"/>
      <c r="Q123" s="1"/>
      <c r="T123" s="1"/>
      <c r="U123" s="1"/>
      <c r="V123" s="1"/>
      <c r="W123" s="1"/>
      <c r="X123" s="1"/>
      <c r="Y123" s="1"/>
      <c r="Z123" s="1"/>
      <c r="AA123" s="1"/>
      <c r="AB123" s="1"/>
      <c r="AC123" s="183"/>
      <c r="AD123" s="547"/>
      <c r="AG123" s="547"/>
      <c r="AH123" s="547"/>
      <c r="AI123" s="547"/>
      <c r="AJ123" s="547"/>
      <c r="AK123" s="547"/>
      <c r="AL123" s="183"/>
    </row>
    <row r="124" spans="2:38" x14ac:dyDescent="0.25">
      <c r="B124" s="932" t="s">
        <v>5</v>
      </c>
      <c r="C124" s="721" t="s">
        <v>80</v>
      </c>
      <c r="D124" s="722"/>
      <c r="E124" s="723"/>
      <c r="F124" s="724"/>
      <c r="G124" s="722"/>
      <c r="H124" s="725"/>
      <c r="K124" s="932" t="s">
        <v>5</v>
      </c>
      <c r="L124" s="721" t="s">
        <v>80</v>
      </c>
      <c r="M124" s="722"/>
      <c r="N124" s="723"/>
      <c r="O124" s="724"/>
      <c r="P124" s="722"/>
      <c r="Q124" s="725"/>
      <c r="T124" s="771" t="s">
        <v>5</v>
      </c>
      <c r="U124" s="721" t="s">
        <v>80</v>
      </c>
      <c r="V124" s="722"/>
      <c r="W124" s="723"/>
      <c r="X124" s="723"/>
      <c r="Y124" s="724"/>
      <c r="Z124" s="722"/>
      <c r="AA124" s="722"/>
      <c r="AB124" s="725"/>
      <c r="AC124" s="183"/>
      <c r="AD124" s="547"/>
      <c r="AG124" s="547"/>
      <c r="AH124" s="547"/>
      <c r="AI124" s="547"/>
      <c r="AJ124" s="547"/>
      <c r="AK124" s="547"/>
      <c r="AL124" s="183"/>
    </row>
    <row r="125" spans="2:38" ht="15" customHeight="1" x14ac:dyDescent="0.25">
      <c r="B125" s="930"/>
      <c r="C125" s="932" t="s">
        <v>81</v>
      </c>
      <c r="D125" s="929" t="s">
        <v>173</v>
      </c>
      <c r="E125" s="874" t="s">
        <v>118</v>
      </c>
      <c r="F125" s="937"/>
      <c r="G125" s="26" t="s">
        <v>3</v>
      </c>
      <c r="H125" s="23" t="s">
        <v>4</v>
      </c>
      <c r="K125" s="930"/>
      <c r="L125" s="5" t="s">
        <v>81</v>
      </c>
      <c r="M125" s="929" t="s">
        <v>173</v>
      </c>
      <c r="N125" s="874" t="s">
        <v>118</v>
      </c>
      <c r="O125" s="937"/>
      <c r="P125" s="26" t="s">
        <v>3</v>
      </c>
      <c r="Q125" s="23" t="s">
        <v>4</v>
      </c>
      <c r="T125" s="934"/>
      <c r="U125" s="932" t="s">
        <v>81</v>
      </c>
      <c r="V125" s="929" t="s">
        <v>173</v>
      </c>
      <c r="W125" s="874" t="s">
        <v>118</v>
      </c>
      <c r="X125" s="937"/>
      <c r="Y125" s="874" t="s">
        <v>3</v>
      </c>
      <c r="Z125" s="939"/>
      <c r="AA125" s="940" t="s">
        <v>4</v>
      </c>
      <c r="AB125" s="940"/>
      <c r="AC125" s="183"/>
      <c r="AD125" s="547"/>
      <c r="AG125" s="547"/>
      <c r="AH125" s="547"/>
      <c r="AI125" s="547"/>
      <c r="AJ125" s="547"/>
      <c r="AK125" s="547"/>
      <c r="AL125" s="183"/>
    </row>
    <row r="126" spans="2:38" x14ac:dyDescent="0.25">
      <c r="B126" s="931"/>
      <c r="C126" s="931"/>
      <c r="D126" s="936"/>
      <c r="E126" s="875"/>
      <c r="F126" s="938"/>
      <c r="G126" s="27" t="s">
        <v>7</v>
      </c>
      <c r="H126" s="24" t="s">
        <v>7</v>
      </c>
      <c r="K126" s="931"/>
      <c r="L126" s="8"/>
      <c r="M126" s="936"/>
      <c r="N126" s="875"/>
      <c r="O126" s="938"/>
      <c r="P126" s="27" t="s">
        <v>7</v>
      </c>
      <c r="Q126" s="24" t="s">
        <v>7</v>
      </c>
      <c r="T126" s="935"/>
      <c r="U126" s="931"/>
      <c r="V126" s="936"/>
      <c r="W126" s="875"/>
      <c r="X126" s="938"/>
      <c r="Y126" s="40" t="s">
        <v>196</v>
      </c>
      <c r="Z126" s="40" t="s">
        <v>7</v>
      </c>
      <c r="AA126" s="40" t="s">
        <v>196</v>
      </c>
      <c r="AB126" s="40" t="s">
        <v>7</v>
      </c>
      <c r="AC126" s="183"/>
      <c r="AD126" s="547"/>
      <c r="AG126" s="547"/>
      <c r="AH126" s="547"/>
      <c r="AI126" s="547"/>
      <c r="AJ126" s="547"/>
      <c r="AK126" s="547"/>
      <c r="AL126" s="183"/>
    </row>
    <row r="127" spans="2:38" x14ac:dyDescent="0.25">
      <c r="B127" s="11">
        <v>1</v>
      </c>
      <c r="C127" s="11">
        <v>2</v>
      </c>
      <c r="D127" s="11" t="s">
        <v>111</v>
      </c>
      <c r="E127" s="735" t="s">
        <v>115</v>
      </c>
      <c r="F127" s="736"/>
      <c r="G127" s="11" t="s">
        <v>116</v>
      </c>
      <c r="H127" s="22" t="s">
        <v>117</v>
      </c>
      <c r="K127" s="11">
        <v>1</v>
      </c>
      <c r="L127" s="11">
        <v>2</v>
      </c>
      <c r="M127" s="11" t="s">
        <v>111</v>
      </c>
      <c r="N127" s="735" t="s">
        <v>115</v>
      </c>
      <c r="O127" s="736"/>
      <c r="P127" s="11" t="s">
        <v>116</v>
      </c>
      <c r="Q127" s="22" t="s">
        <v>117</v>
      </c>
      <c r="T127" s="11">
        <v>1</v>
      </c>
      <c r="U127" s="11">
        <v>2</v>
      </c>
      <c r="V127" s="11" t="s">
        <v>111</v>
      </c>
      <c r="W127" s="944" t="s">
        <v>115</v>
      </c>
      <c r="X127" s="945"/>
      <c r="Y127" s="11" t="s">
        <v>201</v>
      </c>
      <c r="Z127" s="11" t="s">
        <v>116</v>
      </c>
      <c r="AA127" s="11" t="s">
        <v>200</v>
      </c>
      <c r="AB127" s="22" t="s">
        <v>117</v>
      </c>
      <c r="AC127" s="183"/>
      <c r="AD127" s="547"/>
      <c r="AG127" s="547"/>
      <c r="AH127" s="547"/>
      <c r="AI127" s="547"/>
      <c r="AJ127" s="547"/>
      <c r="AK127" s="547"/>
      <c r="AL127" s="183"/>
    </row>
    <row r="128" spans="2:38" x14ac:dyDescent="0.25">
      <c r="B128" s="12" t="s">
        <v>82</v>
      </c>
      <c r="C128" s="13" t="s">
        <v>127</v>
      </c>
      <c r="D128" s="13" t="s">
        <v>83</v>
      </c>
      <c r="E128" s="732" t="s">
        <v>120</v>
      </c>
      <c r="F128" s="733"/>
      <c r="G128" s="172">
        <f>'Kalkulace a Porovnání'!G128</f>
        <v>0</v>
      </c>
      <c r="H128" s="172">
        <f>'Kalkulace a Porovnání'!H128</f>
        <v>30.714285714285712</v>
      </c>
      <c r="K128" s="12" t="s">
        <v>82</v>
      </c>
      <c r="L128" s="13" t="s">
        <v>127</v>
      </c>
      <c r="M128" s="13" t="s">
        <v>83</v>
      </c>
      <c r="N128" s="732" t="s">
        <v>120</v>
      </c>
      <c r="O128" s="733"/>
      <c r="P128" s="172">
        <f>'Kalkulace a Porovnání'!P128</f>
        <v>0</v>
      </c>
      <c r="Q128" s="172">
        <f>'Kalkulace a Porovnání'!Q128</f>
        <v>0</v>
      </c>
      <c r="T128" s="12" t="s">
        <v>82</v>
      </c>
      <c r="U128" s="13" t="s">
        <v>127</v>
      </c>
      <c r="V128" s="13" t="s">
        <v>83</v>
      </c>
      <c r="W128" s="13" t="s">
        <v>120</v>
      </c>
      <c r="X128" s="101"/>
      <c r="Y128" s="172">
        <f>'Kalkulace a Porovnání'!Y128</f>
        <v>0</v>
      </c>
      <c r="Z128" s="172">
        <f>'Kalkulace a Porovnání'!Z128</f>
        <v>0</v>
      </c>
      <c r="AA128" s="172">
        <f>'Kalkulace a Porovnání'!AA128</f>
        <v>0</v>
      </c>
      <c r="AB128" s="172">
        <f>'Kalkulace a Porovnání'!AB128</f>
        <v>30.714285714285712</v>
      </c>
      <c r="AC128" s="183"/>
      <c r="AD128" s="547"/>
      <c r="AG128" s="547"/>
      <c r="AH128" s="547"/>
      <c r="AI128" s="547"/>
      <c r="AJ128" s="547"/>
      <c r="AK128" s="547"/>
      <c r="AL128" s="183"/>
    </row>
    <row r="129" spans="2:38" x14ac:dyDescent="0.25">
      <c r="B129" s="12" t="s">
        <v>84</v>
      </c>
      <c r="C129" s="13" t="s">
        <v>85</v>
      </c>
      <c r="D129" s="13" t="s">
        <v>10</v>
      </c>
      <c r="E129" s="732" t="s">
        <v>121</v>
      </c>
      <c r="F129" s="733"/>
      <c r="G129" s="449">
        <f>'Kalkulace a Porovnání'!G129</f>
        <v>0</v>
      </c>
      <c r="H129" s="449">
        <f>'Kalkulace a Porovnání'!H129</f>
        <v>0.43</v>
      </c>
      <c r="K129" s="12" t="s">
        <v>84</v>
      </c>
      <c r="L129" s="13" t="s">
        <v>85</v>
      </c>
      <c r="M129" s="13" t="s">
        <v>10</v>
      </c>
      <c r="N129" s="732" t="s">
        <v>121</v>
      </c>
      <c r="O129" s="733"/>
      <c r="P129" s="449">
        <f>'Kalkulace a Porovnání'!P129</f>
        <v>0</v>
      </c>
      <c r="Q129" s="449">
        <f>'Kalkulace a Porovnání'!Q129</f>
        <v>0</v>
      </c>
      <c r="T129" s="12" t="s">
        <v>84</v>
      </c>
      <c r="U129" s="13" t="s">
        <v>85</v>
      </c>
      <c r="V129" s="13" t="s">
        <v>10</v>
      </c>
      <c r="W129" s="13" t="s">
        <v>121</v>
      </c>
      <c r="X129" s="101"/>
      <c r="Y129" s="449">
        <f>'Kalkulace a Porovnání'!Y129</f>
        <v>0</v>
      </c>
      <c r="Z129" s="449">
        <f>'Kalkulace a Porovnání'!Z129</f>
        <v>0</v>
      </c>
      <c r="AA129" s="449">
        <f>'Kalkulace a Porovnání'!AA129</f>
        <v>0</v>
      </c>
      <c r="AB129" s="449">
        <f>'Kalkulace a Porovnání'!AB129</f>
        <v>0.43</v>
      </c>
      <c r="AC129" s="183"/>
      <c r="AD129" s="547"/>
      <c r="AG129" s="547"/>
      <c r="AH129" s="547"/>
      <c r="AI129" s="547"/>
      <c r="AJ129" s="547"/>
      <c r="AK129" s="547"/>
      <c r="AL129" s="183"/>
    </row>
    <row r="130" spans="2:38" x14ac:dyDescent="0.25">
      <c r="B130" s="12" t="s">
        <v>86</v>
      </c>
      <c r="C130" s="13" t="s">
        <v>87</v>
      </c>
      <c r="D130" s="13" t="s">
        <v>10</v>
      </c>
      <c r="E130" s="732"/>
      <c r="F130" s="733"/>
      <c r="G130" s="449">
        <f>'Kalkulace a Porovnání'!G130</f>
        <v>0</v>
      </c>
      <c r="H130" s="449">
        <f ca="1">'Kalkulace a Porovnání'!H130</f>
        <v>7.758654207907981E-3</v>
      </c>
      <c r="K130" s="12" t="s">
        <v>86</v>
      </c>
      <c r="L130" s="13" t="s">
        <v>87</v>
      </c>
      <c r="M130" s="13" t="s">
        <v>10</v>
      </c>
      <c r="N130" s="732"/>
      <c r="O130" s="733"/>
      <c r="P130" s="449">
        <f>'Kalkulace a Porovnání'!P130</f>
        <v>0</v>
      </c>
      <c r="Q130" s="449">
        <f>'Kalkulace a Porovnání'!Q130</f>
        <v>0</v>
      </c>
      <c r="T130" s="12" t="s">
        <v>86</v>
      </c>
      <c r="U130" s="13" t="s">
        <v>87</v>
      </c>
      <c r="V130" s="13" t="s">
        <v>10</v>
      </c>
      <c r="W130" s="13"/>
      <c r="X130" s="101"/>
      <c r="Y130" s="449">
        <f>'Kalkulace a Porovnání'!Y130</f>
        <v>0</v>
      </c>
      <c r="Z130" s="449">
        <f>'Kalkulace a Porovnání'!Z130</f>
        <v>0</v>
      </c>
      <c r="AA130" s="449">
        <f>'Kalkulace a Porovnání'!AA130</f>
        <v>0</v>
      </c>
      <c r="AB130" s="449">
        <f ca="1">'Kalkulace a Porovnání'!AB130</f>
        <v>7.758654207907981E-3</v>
      </c>
      <c r="AC130" s="183"/>
      <c r="AD130" s="547"/>
      <c r="AG130" s="547"/>
      <c r="AH130" s="547"/>
      <c r="AI130" s="547"/>
      <c r="AJ130" s="547"/>
      <c r="AK130" s="547"/>
      <c r="AL130" s="183"/>
    </row>
    <row r="131" spans="2:38" x14ac:dyDescent="0.25">
      <c r="B131" s="12" t="s">
        <v>88</v>
      </c>
      <c r="C131" s="21" t="s">
        <v>89</v>
      </c>
      <c r="D131" s="13" t="s">
        <v>90</v>
      </c>
      <c r="E131" s="732" t="s">
        <v>123</v>
      </c>
      <c r="F131" s="733"/>
      <c r="G131" s="172">
        <f>'Kalkulace a Porovnání'!G131</f>
        <v>0</v>
      </c>
      <c r="H131" s="172">
        <f ca="1">'Kalkulace a Porovnání'!H131</f>
        <v>1.8043381878855771</v>
      </c>
      <c r="K131" s="12" t="s">
        <v>88</v>
      </c>
      <c r="L131" s="21" t="s">
        <v>89</v>
      </c>
      <c r="M131" s="13" t="s">
        <v>90</v>
      </c>
      <c r="N131" s="732" t="s">
        <v>123</v>
      </c>
      <c r="O131" s="733"/>
      <c r="P131" s="172">
        <f>'Kalkulace a Porovnání'!P131</f>
        <v>0</v>
      </c>
      <c r="Q131" s="172">
        <f>'Kalkulace a Porovnání'!Q131</f>
        <v>0</v>
      </c>
      <c r="T131" s="12" t="s">
        <v>88</v>
      </c>
      <c r="U131" s="21" t="s">
        <v>89</v>
      </c>
      <c r="V131" s="13" t="s">
        <v>90</v>
      </c>
      <c r="W131" s="13" t="s">
        <v>123</v>
      </c>
      <c r="X131" s="101"/>
      <c r="Y131" s="172">
        <f>'Kalkulace a Porovnání'!Y131</f>
        <v>0</v>
      </c>
      <c r="Z131" s="172">
        <f>'Kalkulace a Porovnání'!Z131</f>
        <v>0</v>
      </c>
      <c r="AA131" s="172">
        <f>'Kalkulace a Porovnání'!AA131</f>
        <v>0</v>
      </c>
      <c r="AB131" s="172">
        <f ca="1">'Kalkulace a Porovnání'!AB131</f>
        <v>1.8043381878855771</v>
      </c>
      <c r="AC131" s="183"/>
      <c r="AD131" s="547"/>
      <c r="AG131" s="547"/>
      <c r="AH131" s="547"/>
      <c r="AI131" s="547"/>
      <c r="AJ131" s="547"/>
      <c r="AK131" s="547"/>
      <c r="AL131" s="183"/>
    </row>
    <row r="132" spans="2:38" x14ac:dyDescent="0.25">
      <c r="B132" s="12" t="s">
        <v>91</v>
      </c>
      <c r="C132" s="21" t="s">
        <v>92</v>
      </c>
      <c r="D132" s="13" t="s">
        <v>10</v>
      </c>
      <c r="E132" s="732"/>
      <c r="F132" s="733"/>
      <c r="G132" s="449">
        <f>'Kalkulace a Porovnání'!G132</f>
        <v>0</v>
      </c>
      <c r="H132" s="449">
        <f>'Kalkulace a Porovnání'!H132</f>
        <v>0</v>
      </c>
      <c r="K132" s="12" t="s">
        <v>91</v>
      </c>
      <c r="L132" s="21" t="s">
        <v>92</v>
      </c>
      <c r="M132" s="13" t="s">
        <v>10</v>
      </c>
      <c r="N132" s="732"/>
      <c r="O132" s="733"/>
      <c r="P132" s="449">
        <f>'Kalkulace a Porovnání'!P132</f>
        <v>0</v>
      </c>
      <c r="Q132" s="449">
        <f>'Kalkulace a Porovnání'!Q132</f>
        <v>0</v>
      </c>
      <c r="T132" s="12" t="s">
        <v>91</v>
      </c>
      <c r="U132" s="21" t="s">
        <v>92</v>
      </c>
      <c r="V132" s="13" t="s">
        <v>10</v>
      </c>
      <c r="W132" s="13"/>
      <c r="X132" s="101"/>
      <c r="Y132" s="449">
        <f>'Kalkulace a Porovnání'!Y132</f>
        <v>0</v>
      </c>
      <c r="Z132" s="449">
        <f>'Kalkulace a Porovnání'!Z132</f>
        <v>0</v>
      </c>
      <c r="AA132" s="449">
        <f>'Kalkulace a Porovnání'!AA132</f>
        <v>0</v>
      </c>
      <c r="AB132" s="449">
        <f>'Kalkulace a Porovnání'!AB132</f>
        <v>0</v>
      </c>
      <c r="AC132" s="183"/>
      <c r="AD132" s="547"/>
      <c r="AG132" s="547"/>
      <c r="AH132" s="547"/>
      <c r="AI132" s="547"/>
      <c r="AJ132" s="547"/>
      <c r="AK132" s="547"/>
      <c r="AL132" s="183"/>
    </row>
    <row r="133" spans="2:38" x14ac:dyDescent="0.25">
      <c r="B133" s="12" t="s">
        <v>93</v>
      </c>
      <c r="C133" s="13" t="s">
        <v>94</v>
      </c>
      <c r="D133" s="13" t="s">
        <v>10</v>
      </c>
      <c r="E133" s="732" t="s">
        <v>122</v>
      </c>
      <c r="F133" s="733"/>
      <c r="G133" s="449">
        <f>'Kalkulace a Porovnání'!G133</f>
        <v>0</v>
      </c>
      <c r="H133" s="449">
        <f ca="1">'Kalkulace a Porovnání'!H133</f>
        <v>0.43775865420790799</v>
      </c>
      <c r="K133" s="12" t="s">
        <v>93</v>
      </c>
      <c r="L133" s="13" t="s">
        <v>94</v>
      </c>
      <c r="M133" s="13" t="s">
        <v>10</v>
      </c>
      <c r="N133" s="732" t="s">
        <v>122</v>
      </c>
      <c r="O133" s="733"/>
      <c r="P133" s="449">
        <f>'Kalkulace a Porovnání'!P133</f>
        <v>0</v>
      </c>
      <c r="Q133" s="449">
        <f>'Kalkulace a Porovnání'!Q133</f>
        <v>0</v>
      </c>
      <c r="T133" s="12" t="s">
        <v>93</v>
      </c>
      <c r="U133" s="13" t="s">
        <v>94</v>
      </c>
      <c r="V133" s="13" t="s">
        <v>10</v>
      </c>
      <c r="W133" s="13" t="s">
        <v>122</v>
      </c>
      <c r="X133" s="101"/>
      <c r="Y133" s="449">
        <f>'Kalkulace a Porovnání'!Y133</f>
        <v>0</v>
      </c>
      <c r="Z133" s="449">
        <f>'Kalkulace a Porovnání'!Z133</f>
        <v>0</v>
      </c>
      <c r="AA133" s="449">
        <f>'Kalkulace a Porovnání'!AA133</f>
        <v>0</v>
      </c>
      <c r="AB133" s="449">
        <f ca="1">'Kalkulace a Porovnání'!AB133</f>
        <v>0.43775865420790799</v>
      </c>
      <c r="AC133" s="183"/>
      <c r="AD133" s="547"/>
      <c r="AG133" s="547"/>
      <c r="AH133" s="547"/>
      <c r="AI133" s="547"/>
      <c r="AJ133" s="547"/>
      <c r="AK133" s="547"/>
      <c r="AL133" s="183"/>
    </row>
    <row r="134" spans="2:38" x14ac:dyDescent="0.25">
      <c r="B134" s="12" t="s">
        <v>95</v>
      </c>
      <c r="C134" s="13" t="s">
        <v>96</v>
      </c>
      <c r="D134" s="13" t="s">
        <v>66</v>
      </c>
      <c r="E134" s="732" t="s">
        <v>124</v>
      </c>
      <c r="F134" s="733"/>
      <c r="G134" s="449">
        <f>'Kalkulace a Porovnání'!G134</f>
        <v>0</v>
      </c>
      <c r="H134" s="449">
        <f>'Kalkulace a Porovnání'!H134</f>
        <v>1.4E-2</v>
      </c>
      <c r="K134" s="12" t="s">
        <v>95</v>
      </c>
      <c r="L134" s="13" t="s">
        <v>96</v>
      </c>
      <c r="M134" s="13" t="s">
        <v>66</v>
      </c>
      <c r="N134" s="732" t="s">
        <v>124</v>
      </c>
      <c r="O134" s="733"/>
      <c r="P134" s="449">
        <f>'Kalkulace a Porovnání'!P134</f>
        <v>0</v>
      </c>
      <c r="Q134" s="449">
        <f>'Kalkulace a Porovnání'!Q134</f>
        <v>0</v>
      </c>
      <c r="T134" s="12" t="s">
        <v>95</v>
      </c>
      <c r="U134" s="13" t="s">
        <v>96</v>
      </c>
      <c r="V134" s="13" t="s">
        <v>66</v>
      </c>
      <c r="W134" s="13" t="s">
        <v>124</v>
      </c>
      <c r="X134" s="101"/>
      <c r="Y134" s="449">
        <f>'Kalkulace a Porovnání'!Y134</f>
        <v>0</v>
      </c>
      <c r="Z134" s="449">
        <f>'Kalkulace a Porovnání'!Z134</f>
        <v>0</v>
      </c>
      <c r="AA134" s="449">
        <f>'Kalkulace a Porovnání'!AA134</f>
        <v>0</v>
      </c>
      <c r="AB134" s="449">
        <f>'Kalkulace a Porovnání'!AB134</f>
        <v>1.4E-2</v>
      </c>
      <c r="AC134" s="183"/>
      <c r="AD134" s="547"/>
      <c r="AG134" s="547"/>
      <c r="AH134" s="547"/>
      <c r="AI134" s="547"/>
      <c r="AJ134" s="547"/>
      <c r="AK134" s="547"/>
      <c r="AL134" s="183"/>
    </row>
    <row r="135" spans="2:38" x14ac:dyDescent="0.25">
      <c r="B135" s="12" t="s">
        <v>97</v>
      </c>
      <c r="C135" s="13" t="s">
        <v>98</v>
      </c>
      <c r="D135" s="13" t="s">
        <v>83</v>
      </c>
      <c r="E135" s="732" t="s">
        <v>125</v>
      </c>
      <c r="F135" s="733"/>
      <c r="G135" s="172">
        <f>'Kalkulace a Porovnání'!G135</f>
        <v>0</v>
      </c>
      <c r="H135" s="172">
        <f ca="1">'Kalkulace a Porovnání'!H135</f>
        <v>31.268475300564855</v>
      </c>
      <c r="K135" s="12" t="s">
        <v>97</v>
      </c>
      <c r="L135" s="13" t="s">
        <v>98</v>
      </c>
      <c r="M135" s="13" t="s">
        <v>83</v>
      </c>
      <c r="N135" s="732" t="s">
        <v>125</v>
      </c>
      <c r="O135" s="733"/>
      <c r="P135" s="172">
        <f>'Kalkulace a Porovnání'!P135</f>
        <v>0</v>
      </c>
      <c r="Q135" s="172">
        <f>'Kalkulace a Porovnání'!Q135</f>
        <v>0</v>
      </c>
      <c r="T135" s="12" t="s">
        <v>97</v>
      </c>
      <c r="U135" s="13" t="s">
        <v>98</v>
      </c>
      <c r="V135" s="13" t="s">
        <v>83</v>
      </c>
      <c r="W135" s="13" t="s">
        <v>125</v>
      </c>
      <c r="X135" s="101"/>
      <c r="Y135" s="172">
        <f>'Kalkulace a Porovnání'!Y135</f>
        <v>0</v>
      </c>
      <c r="Z135" s="172">
        <f>'Kalkulace a Porovnání'!Z135</f>
        <v>0</v>
      </c>
      <c r="AA135" s="172">
        <f>'Kalkulace a Porovnání'!AA135</f>
        <v>0</v>
      </c>
      <c r="AB135" s="172">
        <f ca="1">'Kalkulace a Porovnání'!AB135</f>
        <v>31.268475300564855</v>
      </c>
      <c r="AC135" s="183"/>
      <c r="AD135" s="547"/>
      <c r="AG135" s="547"/>
      <c r="AH135" s="547"/>
      <c r="AI135" s="547"/>
      <c r="AJ135" s="547"/>
      <c r="AK135" s="547"/>
      <c r="AL135" s="183"/>
    </row>
    <row r="136" spans="2:38" x14ac:dyDescent="0.25">
      <c r="B136" s="12" t="s">
        <v>99</v>
      </c>
      <c r="C136" s="13" t="str">
        <f>CONCATENATE("CENA pro vodné, stočné + ",Provozování!E164*100,"% DPH")</f>
        <v>CENA pro vodné, stočné + 0% DPH</v>
      </c>
      <c r="D136" s="13" t="s">
        <v>83</v>
      </c>
      <c r="E136" s="732" t="s">
        <v>126</v>
      </c>
      <c r="F136" s="733"/>
      <c r="G136" s="172">
        <f>'Kalkulace a Porovnání'!G136</f>
        <v>0</v>
      </c>
      <c r="H136" s="172">
        <f ca="1">'Kalkulace a Porovnání'!H136</f>
        <v>35.958746595649579</v>
      </c>
      <c r="K136" s="12" t="s">
        <v>99</v>
      </c>
      <c r="L136" s="13" t="str">
        <f>C136</f>
        <v>CENA pro vodné, stočné + 0% DPH</v>
      </c>
      <c r="M136" s="13" t="s">
        <v>83</v>
      </c>
      <c r="N136" s="732" t="s">
        <v>126</v>
      </c>
      <c r="O136" s="733"/>
      <c r="P136" s="172">
        <f>'Kalkulace a Porovnání'!P136</f>
        <v>0</v>
      </c>
      <c r="Q136" s="172">
        <f>'Kalkulace a Porovnání'!Q136</f>
        <v>0</v>
      </c>
      <c r="T136" s="12" t="s">
        <v>99</v>
      </c>
      <c r="U136" s="13" t="str">
        <f>C136</f>
        <v>CENA pro vodné, stočné + 0% DPH</v>
      </c>
      <c r="V136" s="13" t="s">
        <v>83</v>
      </c>
      <c r="W136" s="13" t="s">
        <v>126</v>
      </c>
      <c r="X136" s="101"/>
      <c r="Y136" s="172">
        <f>'Kalkulace a Porovnání'!Y136</f>
        <v>0</v>
      </c>
      <c r="Z136" s="172">
        <f>'Kalkulace a Porovnání'!Z136</f>
        <v>0</v>
      </c>
      <c r="AA136" s="172">
        <f>'Kalkulace a Porovnání'!AA136</f>
        <v>0</v>
      </c>
      <c r="AB136" s="172">
        <f ca="1">'Kalkulace a Porovnání'!AB136</f>
        <v>35.958746595649579</v>
      </c>
      <c r="AC136" s="183"/>
      <c r="AD136" s="547"/>
      <c r="AG136" s="547"/>
      <c r="AH136" s="547"/>
      <c r="AI136" s="547"/>
      <c r="AJ136" s="547"/>
      <c r="AK136" s="547"/>
      <c r="AL136" s="183"/>
    </row>
    <row r="137" spans="2:38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T137" s="967" t="s">
        <v>203</v>
      </c>
      <c r="U137" s="967" t="s">
        <v>202</v>
      </c>
      <c r="V137" s="968" t="s">
        <v>10</v>
      </c>
      <c r="W137" s="919" t="s">
        <v>204</v>
      </c>
      <c r="X137" s="732"/>
      <c r="Y137" s="102" t="s">
        <v>206</v>
      </c>
      <c r="Z137" s="105" t="s">
        <v>207</v>
      </c>
      <c r="AA137" s="102" t="s">
        <v>206</v>
      </c>
      <c r="AB137" s="105" t="s">
        <v>207</v>
      </c>
      <c r="AC137" s="183"/>
      <c r="AD137" s="547"/>
      <c r="AG137" s="547"/>
      <c r="AH137" s="547"/>
      <c r="AI137" s="547"/>
      <c r="AJ137" s="547"/>
      <c r="AK137" s="547"/>
      <c r="AL137" s="183"/>
    </row>
    <row r="138" spans="2:38" x14ac:dyDescent="0.25">
      <c r="B138" s="500"/>
      <c r="C138" s="499"/>
      <c r="D138" s="499"/>
      <c r="E138" s="499"/>
      <c r="F138" s="499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T138" s="967"/>
      <c r="U138" s="967"/>
      <c r="V138" s="968"/>
      <c r="W138" s="969">
        <f>'Kalkulace a Porovnání'!W138</f>
        <v>0</v>
      </c>
      <c r="X138" s="970"/>
      <c r="Y138" s="103">
        <f>'Kalkulace a Porovnání'!Y138</f>
        <v>2021</v>
      </c>
      <c r="Z138" s="103">
        <f>'Kalkulace a Porovnání'!Z138</f>
        <v>2021</v>
      </c>
      <c r="AA138" s="103">
        <f>'Kalkulace a Porovnání'!AA138</f>
        <v>2021</v>
      </c>
      <c r="AB138" s="103">
        <f>'Kalkulace a Porovnání'!AB138</f>
        <v>2021</v>
      </c>
      <c r="AC138" s="183"/>
      <c r="AD138" s="547"/>
      <c r="AG138" s="547"/>
      <c r="AH138" s="547"/>
      <c r="AI138" s="547"/>
      <c r="AJ138" s="547"/>
      <c r="AK138" s="547"/>
      <c r="AL138" s="183"/>
    </row>
    <row r="139" spans="2:38" x14ac:dyDescent="0.25">
      <c r="B139" s="500"/>
      <c r="C139" s="499"/>
      <c r="D139" s="499"/>
      <c r="E139" s="499"/>
      <c r="F139" s="499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T139" s="967"/>
      <c r="U139" s="967"/>
      <c r="V139" s="968"/>
      <c r="W139" s="919" t="s">
        <v>205</v>
      </c>
      <c r="X139" s="732"/>
      <c r="Y139" s="104" t="s">
        <v>208</v>
      </c>
      <c r="Z139" s="104" t="s">
        <v>208</v>
      </c>
      <c r="AA139" s="104" t="s">
        <v>209</v>
      </c>
      <c r="AB139" s="104" t="s">
        <v>209</v>
      </c>
      <c r="AC139" s="183"/>
      <c r="AD139" s="547"/>
      <c r="AG139" s="547"/>
      <c r="AH139" s="547"/>
      <c r="AI139" s="547"/>
      <c r="AJ139" s="547"/>
      <c r="AK139" s="547"/>
      <c r="AL139" s="183"/>
    </row>
    <row r="140" spans="2:38" x14ac:dyDescent="0.25">
      <c r="B140" s="499"/>
      <c r="C140" s="499"/>
      <c r="D140" s="499"/>
      <c r="E140" s="499"/>
      <c r="F140" s="499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T140" s="967"/>
      <c r="U140" s="967"/>
      <c r="V140" s="968"/>
      <c r="W140" s="971">
        <f>'Kalkulace a Porovnání'!W140</f>
        <v>0</v>
      </c>
      <c r="X140" s="971"/>
      <c r="Y140" s="449">
        <f>'Kalkulace a Porovnání'!Y140</f>
        <v>0</v>
      </c>
      <c r="Z140" s="449">
        <f>'Kalkulace a Porovnání'!Z140</f>
        <v>0</v>
      </c>
      <c r="AA140" s="449">
        <f>'Kalkulace a Porovnání'!AA140</f>
        <v>0</v>
      </c>
      <c r="AB140" s="449">
        <f>'Kalkulace a Porovnání'!AB140</f>
        <v>0</v>
      </c>
      <c r="AC140" s="183"/>
      <c r="AD140" s="547"/>
      <c r="AG140" s="547"/>
      <c r="AH140" s="547"/>
      <c r="AI140" s="547"/>
      <c r="AJ140" s="547"/>
      <c r="AK140" s="547"/>
      <c r="AL140" s="183"/>
    </row>
    <row r="141" spans="2:38" x14ac:dyDescent="0.25">
      <c r="B141" s="31"/>
      <c r="AC141" s="183"/>
      <c r="AD141" s="547"/>
      <c r="AG141" s="547"/>
      <c r="AH141" s="547"/>
      <c r="AI141" s="547"/>
      <c r="AJ141" s="547"/>
      <c r="AK141" s="547"/>
      <c r="AL141" s="183"/>
    </row>
    <row r="142" spans="2:38" x14ac:dyDescent="0.25">
      <c r="B142" s="726" t="s">
        <v>393</v>
      </c>
      <c r="C142" s="727"/>
      <c r="D142" s="727"/>
      <c r="E142" s="727"/>
      <c r="F142" s="727"/>
      <c r="G142" s="727"/>
      <c r="H142" s="727"/>
      <c r="K142" s="726" t="s">
        <v>394</v>
      </c>
      <c r="L142" s="727"/>
      <c r="M142" s="727"/>
      <c r="N142" s="727"/>
      <c r="O142" s="727"/>
      <c r="P142" s="727"/>
      <c r="Q142" s="727"/>
      <c r="T142" s="726" t="s">
        <v>210</v>
      </c>
      <c r="U142" s="727"/>
      <c r="V142" s="727"/>
      <c r="W142" s="727"/>
      <c r="X142" s="727"/>
      <c r="Y142" s="727"/>
      <c r="Z142" s="727"/>
      <c r="AA142" s="727"/>
      <c r="AB142" s="727"/>
      <c r="AC142" s="183"/>
      <c r="AD142" s="547"/>
      <c r="AG142" s="547"/>
      <c r="AH142" s="547"/>
      <c r="AI142" s="547"/>
      <c r="AJ142" s="547"/>
      <c r="AK142" s="547"/>
      <c r="AL142" s="183"/>
    </row>
    <row r="143" spans="2:38" x14ac:dyDescent="0.25">
      <c r="C143" s="362"/>
      <c r="E143" s="25"/>
      <c r="F143" s="25"/>
      <c r="L143" s="25"/>
      <c r="N143" s="25"/>
      <c r="T143" s="950" t="s">
        <v>395</v>
      </c>
      <c r="U143" s="950"/>
      <c r="V143" s="950"/>
      <c r="W143" s="950"/>
      <c r="X143" s="950"/>
      <c r="Y143" s="950"/>
      <c r="Z143" s="950"/>
      <c r="AA143" s="950"/>
      <c r="AB143" s="950"/>
      <c r="AC143" s="183"/>
      <c r="AD143" s="547"/>
      <c r="AG143" s="547"/>
      <c r="AH143" s="547"/>
      <c r="AI143" s="547"/>
      <c r="AJ143" s="547"/>
      <c r="AK143" s="547"/>
      <c r="AL143" s="183"/>
    </row>
    <row r="144" spans="2:38" x14ac:dyDescent="0.25">
      <c r="C144" s="362" t="s">
        <v>119</v>
      </c>
      <c r="D144" s="364">
        <f>'Kalkulace a Porovnání'!D144</f>
        <v>2022</v>
      </c>
      <c r="E144" s="25"/>
      <c r="F144" s="362" t="s">
        <v>278</v>
      </c>
      <c r="G144" s="365">
        <f>'Kalkulace a Porovnání'!G144</f>
        <v>44562</v>
      </c>
      <c r="H144" s="365" t="str">
        <f>'Kalkulace a Porovnání'!H144</f>
        <v>- 31.12.2022</v>
      </c>
      <c r="L144" s="362" t="s">
        <v>119</v>
      </c>
      <c r="M144" s="364">
        <f>'Kalkulace a Porovnání'!M144</f>
        <v>2022</v>
      </c>
      <c r="O144" s="362" t="s">
        <v>278</v>
      </c>
      <c r="P144" s="365" t="str">
        <f>'Kalkulace a Porovnání'!P144</f>
        <v>-</v>
      </c>
      <c r="Q144" s="365" t="str">
        <f>'Kalkulace a Porovnání'!Q144</f>
        <v xml:space="preserve"> </v>
      </c>
      <c r="T144" s="441"/>
      <c r="U144" s="441"/>
      <c r="V144" s="451" t="s">
        <v>195</v>
      </c>
      <c r="W144" s="364">
        <f>'Kalkulace a Porovnání'!W144</f>
        <v>2022</v>
      </c>
      <c r="Z144" s="362" t="s">
        <v>278</v>
      </c>
      <c r="AA144" s="365">
        <f>'Kalkulace a Porovnání'!AA144</f>
        <v>44562</v>
      </c>
      <c r="AB144" s="365" t="str">
        <f>'Kalkulace a Porovnání'!AB144</f>
        <v>- 31.12.2022</v>
      </c>
      <c r="AC144" s="183"/>
      <c r="AD144" s="547"/>
      <c r="AG144" s="547"/>
      <c r="AH144" s="547"/>
      <c r="AI144" s="547"/>
      <c r="AJ144" s="547"/>
      <c r="AK144" s="547"/>
      <c r="AL144" s="183"/>
    </row>
    <row r="145" spans="2:38" x14ac:dyDescent="0.25">
      <c r="B145" s="13" t="s">
        <v>74</v>
      </c>
      <c r="C145" s="13" t="s">
        <v>105</v>
      </c>
      <c r="D145" s="941" t="str">
        <f>'Kalkulace a Porovnání'!D145</f>
        <v/>
      </c>
      <c r="E145" s="942"/>
      <c r="F145" s="942"/>
      <c r="G145" s="942"/>
      <c r="H145" s="943"/>
      <c r="K145" s="13" t="s">
        <v>74</v>
      </c>
      <c r="L145" s="13" t="s">
        <v>105</v>
      </c>
      <c r="M145" s="941" t="str">
        <f>'Kalkulace a Porovnání'!M145</f>
        <v/>
      </c>
      <c r="N145" s="942"/>
      <c r="O145" s="942"/>
      <c r="P145" s="942"/>
      <c r="Q145" s="943"/>
      <c r="T145" s="13" t="s">
        <v>74</v>
      </c>
      <c r="U145" s="13" t="s">
        <v>105</v>
      </c>
      <c r="V145" s="949" t="str">
        <f>'Kalkulace a Porovnání'!V145</f>
        <v/>
      </c>
      <c r="W145" s="738"/>
      <c r="X145" s="738"/>
      <c r="Y145" s="738"/>
      <c r="Z145" s="738"/>
      <c r="AA145" s="738"/>
      <c r="AB145" s="738"/>
      <c r="AC145" s="183"/>
      <c r="AD145" s="547"/>
      <c r="AG145" s="342"/>
      <c r="AH145" s="342"/>
      <c r="AI145" s="342"/>
      <c r="AJ145" s="342"/>
      <c r="AK145" s="547"/>
      <c r="AL145" s="183"/>
    </row>
    <row r="146" spans="2:38" x14ac:dyDescent="0.25">
      <c r="B146" s="13" t="s">
        <v>100</v>
      </c>
      <c r="C146" s="13" t="s">
        <v>106</v>
      </c>
      <c r="D146" s="941" t="str">
        <f>'Kalkulace a Porovnání'!D146</f>
        <v/>
      </c>
      <c r="E146" s="942"/>
      <c r="F146" s="942"/>
      <c r="G146" s="942"/>
      <c r="H146" s="943"/>
      <c r="K146" s="13" t="s">
        <v>100</v>
      </c>
      <c r="L146" s="13" t="s">
        <v>106</v>
      </c>
      <c r="M146" s="941" t="str">
        <f>'Kalkulace a Porovnání'!M146</f>
        <v/>
      </c>
      <c r="N146" s="942"/>
      <c r="O146" s="942"/>
      <c r="P146" s="942"/>
      <c r="Q146" s="943"/>
      <c r="T146" s="13" t="s">
        <v>100</v>
      </c>
      <c r="U146" s="13" t="s">
        <v>106</v>
      </c>
      <c r="V146" s="949" t="str">
        <f>'Kalkulace a Porovnání'!V146</f>
        <v/>
      </c>
      <c r="W146" s="738"/>
      <c r="X146" s="738"/>
      <c r="Y146" s="738"/>
      <c r="Z146" s="738"/>
      <c r="AA146" s="738"/>
      <c r="AB146" s="738"/>
      <c r="AC146" s="183"/>
      <c r="AD146" s="547"/>
      <c r="AG146" s="342"/>
      <c r="AH146" s="342"/>
      <c r="AI146" s="342"/>
      <c r="AJ146" s="342"/>
      <c r="AK146" s="547"/>
      <c r="AL146" s="183"/>
    </row>
    <row r="147" spans="2:38" x14ac:dyDescent="0.25">
      <c r="B147" s="13" t="s">
        <v>101</v>
      </c>
      <c r="C147" s="13" t="s">
        <v>107</v>
      </c>
      <c r="D147" s="941" t="str">
        <f>'Kalkulace a Porovnání'!D147</f>
        <v xml:space="preserve">Město Kraslice, IČ </v>
      </c>
      <c r="E147" s="942"/>
      <c r="F147" s="942"/>
      <c r="G147" s="942"/>
      <c r="H147" s="943"/>
      <c r="K147" s="13" t="s">
        <v>101</v>
      </c>
      <c r="L147" s="13" t="s">
        <v>107</v>
      </c>
      <c r="M147" s="941" t="str">
        <f>'Kalkulace a Porovnání'!M147</f>
        <v xml:space="preserve">Město Kraslice, IČ </v>
      </c>
      <c r="N147" s="942"/>
      <c r="O147" s="942"/>
      <c r="P147" s="942"/>
      <c r="Q147" s="943"/>
      <c r="T147" s="13" t="s">
        <v>101</v>
      </c>
      <c r="U147" s="13" t="s">
        <v>107</v>
      </c>
      <c r="V147" s="949" t="str">
        <f>'Kalkulace a Porovnání'!V147</f>
        <v xml:space="preserve">Město Kraslice, IČ </v>
      </c>
      <c r="W147" s="738"/>
      <c r="X147" s="738"/>
      <c r="Y147" s="738"/>
      <c r="Z147" s="738"/>
      <c r="AA147" s="738"/>
      <c r="AB147" s="738"/>
      <c r="AC147" s="183"/>
      <c r="AD147" s="547"/>
      <c r="AG147" s="342"/>
      <c r="AH147" s="342"/>
      <c r="AI147" s="342"/>
      <c r="AJ147" s="342"/>
      <c r="AK147" s="547"/>
      <c r="AL147" s="183"/>
    </row>
    <row r="148" spans="2:38" x14ac:dyDescent="0.25">
      <c r="B148" s="13" t="s">
        <v>102</v>
      </c>
      <c r="C148" s="13" t="s">
        <v>109</v>
      </c>
      <c r="D148" s="941" t="str">
        <f>'Kalkulace a Porovnání'!D148</f>
        <v>[vyplnit]</v>
      </c>
      <c r="E148" s="942"/>
      <c r="F148" s="942"/>
      <c r="G148" s="942"/>
      <c r="H148" s="943"/>
      <c r="K148" s="13" t="s">
        <v>102</v>
      </c>
      <c r="L148" s="13" t="s">
        <v>109</v>
      </c>
      <c r="M148" s="941" t="str">
        <f>'Kalkulace a Porovnání'!M148</f>
        <v xml:space="preserve"> </v>
      </c>
      <c r="N148" s="942"/>
      <c r="O148" s="942"/>
      <c r="P148" s="942"/>
      <c r="Q148" s="943"/>
      <c r="T148" s="13" t="s">
        <v>102</v>
      </c>
      <c r="U148" s="13" t="s">
        <v>109</v>
      </c>
      <c r="V148" s="949" t="str">
        <f>'Kalkulace a Porovnání'!V148</f>
        <v xml:space="preserve"> </v>
      </c>
      <c r="W148" s="738"/>
      <c r="X148" s="738"/>
      <c r="Y148" s="738"/>
      <c r="Z148" s="738"/>
      <c r="AA148" s="738"/>
      <c r="AB148" s="738"/>
      <c r="AC148" s="183"/>
      <c r="AD148" s="547"/>
      <c r="AG148" s="342"/>
      <c r="AH148" s="342"/>
      <c r="AI148" s="342"/>
      <c r="AJ148" s="342"/>
      <c r="AK148" s="547"/>
      <c r="AL148" s="183"/>
    </row>
    <row r="149" spans="2:38" x14ac:dyDescent="0.25">
      <c r="B149" s="13" t="s">
        <v>103</v>
      </c>
      <c r="C149" s="13" t="s">
        <v>108</v>
      </c>
      <c r="D149" s="941" t="str">
        <f>'Kalkulace a Porovnání'!D149</f>
        <v>[vyplnit]</v>
      </c>
      <c r="E149" s="942"/>
      <c r="F149" s="942"/>
      <c r="G149" s="942"/>
      <c r="H149" s="943"/>
      <c r="K149" s="13" t="s">
        <v>103</v>
      </c>
      <c r="L149" s="13" t="s">
        <v>108</v>
      </c>
      <c r="M149" s="941" t="str">
        <f>'Kalkulace a Porovnání'!M149</f>
        <v xml:space="preserve"> </v>
      </c>
      <c r="N149" s="942"/>
      <c r="O149" s="942"/>
      <c r="P149" s="942"/>
      <c r="Q149" s="943"/>
      <c r="T149" s="13" t="s">
        <v>103</v>
      </c>
      <c r="U149" s="13" t="s">
        <v>108</v>
      </c>
      <c r="V149" s="949" t="str">
        <f>'Kalkulace a Porovnání'!V149</f>
        <v xml:space="preserve"> </v>
      </c>
      <c r="W149" s="738"/>
      <c r="X149" s="738"/>
      <c r="Y149" s="738"/>
      <c r="Z149" s="738"/>
      <c r="AA149" s="738"/>
      <c r="AB149" s="738"/>
      <c r="AC149" s="183"/>
      <c r="AD149" s="547"/>
      <c r="AG149" s="342"/>
      <c r="AH149" s="342"/>
      <c r="AI149" s="342"/>
      <c r="AJ149" s="342"/>
      <c r="AK149" s="547"/>
      <c r="AL149" s="183"/>
    </row>
    <row r="150" spans="2:38" x14ac:dyDescent="0.25">
      <c r="B150" s="13" t="s">
        <v>104</v>
      </c>
      <c r="C150" s="13" t="s">
        <v>110</v>
      </c>
      <c r="D150" s="941" t="str">
        <f>'Kalkulace a Porovnání'!D150</f>
        <v>[vyplnit]</v>
      </c>
      <c r="E150" s="942"/>
      <c r="F150" s="942"/>
      <c r="G150" s="942"/>
      <c r="H150" s="943"/>
      <c r="K150" s="13" t="s">
        <v>104</v>
      </c>
      <c r="L150" s="13" t="s">
        <v>110</v>
      </c>
      <c r="M150" s="941" t="str">
        <f>'Kalkulace a Porovnání'!M150</f>
        <v xml:space="preserve"> </v>
      </c>
      <c r="N150" s="942"/>
      <c r="O150" s="942"/>
      <c r="P150" s="942"/>
      <c r="Q150" s="943"/>
      <c r="T150" s="13" t="s">
        <v>104</v>
      </c>
      <c r="U150" s="13" t="s">
        <v>110</v>
      </c>
      <c r="V150" s="949" t="str">
        <f>'Kalkulace a Porovnání'!V150</f>
        <v xml:space="preserve"> </v>
      </c>
      <c r="W150" s="738"/>
      <c r="X150" s="738"/>
      <c r="Y150" s="738"/>
      <c r="Z150" s="738"/>
      <c r="AA150" s="738"/>
      <c r="AB150" s="738"/>
      <c r="AC150" s="183"/>
      <c r="AD150" s="547"/>
      <c r="AG150" s="342"/>
      <c r="AH150" s="342"/>
      <c r="AI150" s="342"/>
      <c r="AJ150" s="342"/>
      <c r="AK150" s="547"/>
      <c r="AL150" s="183"/>
    </row>
    <row r="151" spans="2:38" x14ac:dyDescent="0.25">
      <c r="AC151" s="183"/>
      <c r="AD151" s="547"/>
      <c r="AG151" s="342"/>
      <c r="AH151" s="342"/>
      <c r="AI151" s="342"/>
      <c r="AJ151" s="342"/>
      <c r="AK151" s="547"/>
      <c r="AL151" s="183"/>
    </row>
    <row r="152" spans="2:38" x14ac:dyDescent="0.25">
      <c r="B152" s="932" t="s">
        <v>5</v>
      </c>
      <c r="C152" s="721" t="s">
        <v>0</v>
      </c>
      <c r="D152" s="722"/>
      <c r="E152" s="722"/>
      <c r="F152" s="722"/>
      <c r="G152" s="722"/>
      <c r="H152" s="725"/>
      <c r="K152" s="932" t="s">
        <v>5</v>
      </c>
      <c r="L152" s="721" t="s">
        <v>0</v>
      </c>
      <c r="M152" s="722"/>
      <c r="N152" s="722"/>
      <c r="O152" s="722"/>
      <c r="P152" s="722"/>
      <c r="Q152" s="725"/>
      <c r="T152" s="932" t="s">
        <v>5</v>
      </c>
      <c r="U152" s="721" t="s">
        <v>0</v>
      </c>
      <c r="V152" s="722"/>
      <c r="W152" s="722"/>
      <c r="X152" s="722"/>
      <c r="Y152" s="722"/>
      <c r="Z152" s="722"/>
      <c r="AA152" s="722"/>
      <c r="AB152" s="725"/>
      <c r="AC152" s="183"/>
      <c r="AD152" s="547"/>
      <c r="AG152" s="342"/>
      <c r="AH152" s="342"/>
      <c r="AI152" s="342"/>
      <c r="AJ152" s="342"/>
      <c r="AK152" s="547"/>
      <c r="AL152" s="183"/>
    </row>
    <row r="153" spans="2:38" x14ac:dyDescent="0.25">
      <c r="B153" s="930"/>
      <c r="C153" s="932" t="s">
        <v>1</v>
      </c>
      <c r="D153" s="929" t="s">
        <v>173</v>
      </c>
      <c r="E153" s="721" t="s">
        <v>3</v>
      </c>
      <c r="F153" s="722"/>
      <c r="G153" s="721" t="s">
        <v>4</v>
      </c>
      <c r="H153" s="725"/>
      <c r="K153" s="930"/>
      <c r="L153" s="932" t="s">
        <v>1</v>
      </c>
      <c r="M153" s="929" t="s">
        <v>173</v>
      </c>
      <c r="N153" s="721" t="s">
        <v>3</v>
      </c>
      <c r="O153" s="722"/>
      <c r="P153" s="721" t="s">
        <v>4</v>
      </c>
      <c r="Q153" s="725"/>
      <c r="T153" s="930"/>
      <c r="U153" s="932" t="s">
        <v>1</v>
      </c>
      <c r="V153" s="929" t="s">
        <v>173</v>
      </c>
      <c r="W153" s="721" t="s">
        <v>3</v>
      </c>
      <c r="X153" s="722"/>
      <c r="Y153" s="722"/>
      <c r="Z153" s="721" t="s">
        <v>4</v>
      </c>
      <c r="AA153" s="722"/>
      <c r="AB153" s="725"/>
      <c r="AC153" s="183"/>
      <c r="AD153" s="547"/>
      <c r="AG153" s="342"/>
      <c r="AH153" s="342"/>
      <c r="AI153" s="342"/>
      <c r="AJ153" s="342"/>
      <c r="AK153" s="547"/>
      <c r="AL153" s="183"/>
    </row>
    <row r="154" spans="2:38" x14ac:dyDescent="0.25">
      <c r="B154" s="930"/>
      <c r="C154" s="930"/>
      <c r="D154" s="930"/>
      <c r="E154" s="30">
        <f>'Kalkulace a Porovnání'!E154</f>
        <v>2021</v>
      </c>
      <c r="F154" s="30">
        <f>'Kalkulace a Porovnání'!F154</f>
        <v>2022</v>
      </c>
      <c r="G154" s="30">
        <f>'Kalkulace a Porovnání'!G154</f>
        <v>2021</v>
      </c>
      <c r="H154" s="30">
        <f>'Kalkulace a Porovnání'!H154</f>
        <v>2022</v>
      </c>
      <c r="K154" s="930"/>
      <c r="L154" s="930"/>
      <c r="M154" s="930"/>
      <c r="N154" s="30">
        <f>'Kalkulace a Porovnání'!N154</f>
        <v>2021</v>
      </c>
      <c r="O154" s="30">
        <f>'Kalkulace a Porovnání'!O154</f>
        <v>2022</v>
      </c>
      <c r="P154" s="30">
        <f>'Kalkulace a Porovnání'!P154</f>
        <v>2021</v>
      </c>
      <c r="Q154" s="30">
        <f>'Kalkulace a Porovnání'!Q154</f>
        <v>2022</v>
      </c>
      <c r="T154" s="930"/>
      <c r="U154" s="930"/>
      <c r="V154" s="930"/>
      <c r="W154" s="30">
        <f>'Kalkulace a Porovnání'!W154</f>
        <v>2022</v>
      </c>
      <c r="X154" s="30">
        <f>'Kalkulace a Porovnání'!X154</f>
        <v>2022</v>
      </c>
      <c r="Y154" s="30">
        <f>'Kalkulace a Porovnání'!Y154</f>
        <v>2022</v>
      </c>
      <c r="Z154" s="30">
        <f>'Kalkulace a Porovnání'!Z154</f>
        <v>2022</v>
      </c>
      <c r="AA154" s="30">
        <f>'Kalkulace a Porovnání'!AA154</f>
        <v>2022</v>
      </c>
      <c r="AB154" s="30">
        <f>'Kalkulace a Porovnání'!AB154</f>
        <v>2022</v>
      </c>
      <c r="AC154" s="183"/>
      <c r="AD154" s="547"/>
      <c r="AG154" s="342"/>
      <c r="AH154" s="342"/>
      <c r="AI154" s="342"/>
      <c r="AJ154" s="342"/>
      <c r="AK154" s="547"/>
      <c r="AL154" s="183"/>
    </row>
    <row r="155" spans="2:38" x14ac:dyDescent="0.25">
      <c r="B155" s="931"/>
      <c r="C155" s="931"/>
      <c r="D155" s="931"/>
      <c r="E155" s="7" t="s">
        <v>199</v>
      </c>
      <c r="F155" s="7" t="s">
        <v>114</v>
      </c>
      <c r="G155" s="7" t="s">
        <v>199</v>
      </c>
      <c r="H155" s="19" t="s">
        <v>114</v>
      </c>
      <c r="K155" s="931"/>
      <c r="L155" s="931"/>
      <c r="M155" s="931"/>
      <c r="N155" s="7" t="s">
        <v>199</v>
      </c>
      <c r="O155" s="7" t="s">
        <v>114</v>
      </c>
      <c r="P155" s="7" t="s">
        <v>199</v>
      </c>
      <c r="Q155" s="19" t="s">
        <v>114</v>
      </c>
      <c r="T155" s="931"/>
      <c r="U155" s="931"/>
      <c r="V155" s="931"/>
      <c r="W155" s="7" t="s">
        <v>198</v>
      </c>
      <c r="X155" s="7" t="s">
        <v>114</v>
      </c>
      <c r="Y155" s="7" t="s">
        <v>197</v>
      </c>
      <c r="Z155" s="7" t="s">
        <v>198</v>
      </c>
      <c r="AA155" s="7" t="s">
        <v>114</v>
      </c>
      <c r="AB155" s="19" t="s">
        <v>197</v>
      </c>
      <c r="AC155" s="183"/>
      <c r="AD155" s="547"/>
      <c r="AG155" s="342"/>
      <c r="AH155" s="342"/>
      <c r="AI155" s="342"/>
      <c r="AJ155" s="342"/>
      <c r="AK155" s="547"/>
      <c r="AL155" s="183"/>
    </row>
    <row r="156" spans="2:38" x14ac:dyDescent="0.25">
      <c r="B156" s="11">
        <v>1</v>
      </c>
      <c r="C156" s="11">
        <v>2</v>
      </c>
      <c r="D156" s="11" t="s">
        <v>111</v>
      </c>
      <c r="E156" s="11">
        <v>3</v>
      </c>
      <c r="F156" s="11">
        <v>4</v>
      </c>
      <c r="G156" s="11">
        <v>6</v>
      </c>
      <c r="H156" s="22">
        <v>7</v>
      </c>
      <c r="K156" s="11">
        <v>1</v>
      </c>
      <c r="L156" s="11">
        <v>2</v>
      </c>
      <c r="M156" s="11" t="s">
        <v>111</v>
      </c>
      <c r="N156" s="11">
        <v>3</v>
      </c>
      <c r="O156" s="11">
        <v>4</v>
      </c>
      <c r="P156" s="11">
        <v>6</v>
      </c>
      <c r="Q156" s="22">
        <v>7</v>
      </c>
      <c r="T156" s="11">
        <v>1</v>
      </c>
      <c r="U156" s="11">
        <v>2</v>
      </c>
      <c r="V156" s="11" t="s">
        <v>111</v>
      </c>
      <c r="W156" s="11">
        <v>3</v>
      </c>
      <c r="X156" s="11">
        <v>4</v>
      </c>
      <c r="Y156" s="11">
        <v>5</v>
      </c>
      <c r="Z156" s="11">
        <v>6</v>
      </c>
      <c r="AA156" s="11">
        <v>7</v>
      </c>
      <c r="AB156" s="22">
        <v>8</v>
      </c>
      <c r="AC156" s="183"/>
      <c r="AD156" s="547"/>
      <c r="AG156" s="342"/>
      <c r="AH156" s="342"/>
      <c r="AI156" s="342"/>
      <c r="AJ156" s="342"/>
      <c r="AK156" s="547"/>
      <c r="AL156" s="183"/>
    </row>
    <row r="157" spans="2:38" x14ac:dyDescent="0.25">
      <c r="B157" s="9" t="s">
        <v>8</v>
      </c>
      <c r="C157" s="10" t="s">
        <v>9</v>
      </c>
      <c r="D157" s="11" t="s">
        <v>10</v>
      </c>
      <c r="E157" s="46">
        <f>'Kalkulace a Porovnání'!E157</f>
        <v>0</v>
      </c>
      <c r="F157" s="46">
        <f>'Kalkulace a Porovnání'!F157</f>
        <v>0</v>
      </c>
      <c r="G157" s="46">
        <f>'Kalkulace a Porovnání'!G157</f>
        <v>0</v>
      </c>
      <c r="H157" s="98">
        <f>'Kalkulace a Porovnání'!H157</f>
        <v>0.28999999999999998</v>
      </c>
      <c r="K157" s="9" t="s">
        <v>8</v>
      </c>
      <c r="L157" s="10" t="s">
        <v>9</v>
      </c>
      <c r="M157" s="11" t="s">
        <v>10</v>
      </c>
      <c r="N157" s="46">
        <f>'Kalkulace a Porovnání'!N157</f>
        <v>0</v>
      </c>
      <c r="O157" s="46">
        <f>'Kalkulace a Porovnání'!O157</f>
        <v>0</v>
      </c>
      <c r="P157" s="46">
        <f>'Kalkulace a Porovnání'!P157</f>
        <v>0</v>
      </c>
      <c r="Q157" s="98">
        <f>'Kalkulace a Porovnání'!Q157</f>
        <v>0</v>
      </c>
      <c r="T157" s="9" t="s">
        <v>8</v>
      </c>
      <c r="U157" s="10" t="s">
        <v>9</v>
      </c>
      <c r="V157" s="11" t="s">
        <v>10</v>
      </c>
      <c r="W157" s="46">
        <f>'Kalkulace a Porovnání'!W157</f>
        <v>0</v>
      </c>
      <c r="X157" s="46">
        <f>'Kalkulace a Porovnání'!X157</f>
        <v>0</v>
      </c>
      <c r="Y157" s="46">
        <f>'Kalkulace a Porovnání'!Y157</f>
        <v>0</v>
      </c>
      <c r="Z157" s="46">
        <f>'Kalkulace a Porovnání'!Z157</f>
        <v>0</v>
      </c>
      <c r="AA157" s="46">
        <f>'Kalkulace a Porovnání'!AA157</f>
        <v>0.28999999999999998</v>
      </c>
      <c r="AB157" s="98">
        <f>'Kalkulace a Porovnání'!AB157</f>
        <v>-0.28999999999999998</v>
      </c>
      <c r="AC157" s="183"/>
      <c r="AD157" s="547"/>
      <c r="AG157" s="342"/>
      <c r="AH157" s="342"/>
      <c r="AI157" s="342"/>
      <c r="AJ157" s="342"/>
      <c r="AK157" s="547"/>
      <c r="AL157" s="183"/>
    </row>
    <row r="158" spans="2:38" x14ac:dyDescent="0.25">
      <c r="B158" s="12" t="s">
        <v>11</v>
      </c>
      <c r="C158" s="13" t="s">
        <v>12</v>
      </c>
      <c r="D158" s="3" t="s">
        <v>10</v>
      </c>
      <c r="E158" s="49">
        <f>'Kalkulace a Porovnání'!E158</f>
        <v>0</v>
      </c>
      <c r="F158" s="49">
        <f>'Kalkulace a Porovnání'!F158</f>
        <v>0</v>
      </c>
      <c r="G158" s="49">
        <f>'Kalkulace a Porovnání'!G158</f>
        <v>0</v>
      </c>
      <c r="H158" s="32">
        <f>'Kalkulace a Porovnání'!H158</f>
        <v>0</v>
      </c>
      <c r="K158" s="12" t="s">
        <v>11</v>
      </c>
      <c r="L158" s="13" t="s">
        <v>12</v>
      </c>
      <c r="M158" s="3" t="s">
        <v>10</v>
      </c>
      <c r="N158" s="49">
        <f>'Kalkulace a Porovnání'!N158</f>
        <v>0</v>
      </c>
      <c r="O158" s="49">
        <f>'Kalkulace a Porovnání'!O158</f>
        <v>0</v>
      </c>
      <c r="P158" s="49">
        <f>'Kalkulace a Porovnání'!P158</f>
        <v>0</v>
      </c>
      <c r="Q158" s="32">
        <f>'Kalkulace a Porovnání'!Q158</f>
        <v>0</v>
      </c>
      <c r="T158" s="12" t="s">
        <v>11</v>
      </c>
      <c r="U158" s="13" t="s">
        <v>12</v>
      </c>
      <c r="V158" s="3" t="s">
        <v>10</v>
      </c>
      <c r="W158" s="49">
        <f>'Kalkulace a Porovnání'!W158</f>
        <v>0</v>
      </c>
      <c r="X158" s="49">
        <f>'Kalkulace a Porovnání'!X158</f>
        <v>0</v>
      </c>
      <c r="Y158" s="49">
        <f>'Kalkulace a Porovnání'!Y158</f>
        <v>0</v>
      </c>
      <c r="Z158" s="49">
        <f>'Kalkulace a Porovnání'!Z158</f>
        <v>0</v>
      </c>
      <c r="AA158" s="49">
        <f>'Kalkulace a Porovnání'!AA158</f>
        <v>0</v>
      </c>
      <c r="AB158" s="32">
        <f>'Kalkulace a Porovnání'!AB158</f>
        <v>0</v>
      </c>
      <c r="AC158" s="183"/>
      <c r="AD158" s="547"/>
      <c r="AG158" s="342"/>
      <c r="AH158" s="342"/>
      <c r="AI158" s="342"/>
      <c r="AJ158" s="342"/>
      <c r="AK158" s="547"/>
      <c r="AL158" s="183"/>
    </row>
    <row r="159" spans="2:38" x14ac:dyDescent="0.25">
      <c r="B159" s="12" t="s">
        <v>13</v>
      </c>
      <c r="C159" s="12" t="s">
        <v>14</v>
      </c>
      <c r="D159" s="3" t="s">
        <v>10</v>
      </c>
      <c r="E159" s="49">
        <f>'Kalkulace a Porovnání'!E159</f>
        <v>0</v>
      </c>
      <c r="F159" s="49">
        <f>'Kalkulace a Porovnání'!F159</f>
        <v>0</v>
      </c>
      <c r="G159" s="49">
        <f>'Kalkulace a Porovnání'!G159</f>
        <v>0</v>
      </c>
      <c r="H159" s="32">
        <f>'Kalkulace a Porovnání'!H159</f>
        <v>0.28999999999999998</v>
      </c>
      <c r="K159" s="12" t="s">
        <v>13</v>
      </c>
      <c r="L159" s="12" t="s">
        <v>14</v>
      </c>
      <c r="M159" s="3" t="s">
        <v>10</v>
      </c>
      <c r="N159" s="49">
        <f>'Kalkulace a Porovnání'!N159</f>
        <v>0</v>
      </c>
      <c r="O159" s="49">
        <f>'Kalkulace a Porovnání'!O159</f>
        <v>0</v>
      </c>
      <c r="P159" s="49">
        <f>'Kalkulace a Porovnání'!P159</f>
        <v>0</v>
      </c>
      <c r="Q159" s="32">
        <f>'Kalkulace a Porovnání'!Q159</f>
        <v>0</v>
      </c>
      <c r="T159" s="12" t="s">
        <v>13</v>
      </c>
      <c r="U159" s="12" t="s">
        <v>14</v>
      </c>
      <c r="V159" s="3" t="s">
        <v>10</v>
      </c>
      <c r="W159" s="49">
        <f>'Kalkulace a Porovnání'!W159</f>
        <v>0</v>
      </c>
      <c r="X159" s="49">
        <f>'Kalkulace a Porovnání'!X159</f>
        <v>0</v>
      </c>
      <c r="Y159" s="49">
        <f>'Kalkulace a Porovnání'!Y159</f>
        <v>0</v>
      </c>
      <c r="Z159" s="49">
        <f>'Kalkulace a Porovnání'!Z159</f>
        <v>0</v>
      </c>
      <c r="AA159" s="49">
        <f>'Kalkulace a Porovnání'!AA159</f>
        <v>0.28999999999999998</v>
      </c>
      <c r="AB159" s="32">
        <f>'Kalkulace a Porovnání'!AB159</f>
        <v>-0.28999999999999998</v>
      </c>
      <c r="AC159" s="183"/>
      <c r="AD159" s="547"/>
      <c r="AG159" s="342"/>
      <c r="AH159" s="342"/>
      <c r="AI159" s="342"/>
      <c r="AJ159" s="342"/>
      <c r="AK159" s="547"/>
      <c r="AL159" s="183"/>
    </row>
    <row r="160" spans="2:38" x14ac:dyDescent="0.25">
      <c r="B160" s="12" t="s">
        <v>15</v>
      </c>
      <c r="C160" s="13" t="s">
        <v>16</v>
      </c>
      <c r="D160" s="3" t="s">
        <v>10</v>
      </c>
      <c r="E160" s="49">
        <f>'Kalkulace a Porovnání'!E160</f>
        <v>0</v>
      </c>
      <c r="F160" s="49">
        <f>'Kalkulace a Porovnání'!F160</f>
        <v>0</v>
      </c>
      <c r="G160" s="49">
        <f>'Kalkulace a Porovnání'!G160</f>
        <v>0</v>
      </c>
      <c r="H160" s="32">
        <f>'Kalkulace a Porovnání'!H160</f>
        <v>0</v>
      </c>
      <c r="K160" s="12" t="s">
        <v>15</v>
      </c>
      <c r="L160" s="13" t="s">
        <v>16</v>
      </c>
      <c r="M160" s="3" t="s">
        <v>10</v>
      </c>
      <c r="N160" s="49">
        <f>'Kalkulace a Porovnání'!N160</f>
        <v>0</v>
      </c>
      <c r="O160" s="49">
        <f>'Kalkulace a Porovnání'!O160</f>
        <v>0</v>
      </c>
      <c r="P160" s="49">
        <f>'Kalkulace a Porovnání'!P160</f>
        <v>0</v>
      </c>
      <c r="Q160" s="32">
        <f>'Kalkulace a Porovnání'!Q160</f>
        <v>0</v>
      </c>
      <c r="T160" s="12" t="s">
        <v>15</v>
      </c>
      <c r="U160" s="13" t="s">
        <v>16</v>
      </c>
      <c r="V160" s="3" t="s">
        <v>10</v>
      </c>
      <c r="W160" s="49">
        <f>'Kalkulace a Porovnání'!W160</f>
        <v>0</v>
      </c>
      <c r="X160" s="49">
        <f>'Kalkulace a Porovnání'!X160</f>
        <v>0</v>
      </c>
      <c r="Y160" s="49">
        <f>'Kalkulace a Porovnání'!Y160</f>
        <v>0</v>
      </c>
      <c r="Z160" s="49">
        <f>'Kalkulace a Porovnání'!Z160</f>
        <v>0</v>
      </c>
      <c r="AA160" s="49">
        <f>'Kalkulace a Porovnání'!AA160</f>
        <v>0</v>
      </c>
      <c r="AB160" s="32">
        <f>'Kalkulace a Porovnání'!AB160</f>
        <v>0</v>
      </c>
      <c r="AC160" s="183"/>
      <c r="AD160" s="547"/>
      <c r="AG160" s="342"/>
      <c r="AH160" s="342"/>
      <c r="AI160" s="342"/>
      <c r="AJ160" s="342"/>
      <c r="AK160" s="547"/>
      <c r="AL160" s="183"/>
    </row>
    <row r="161" spans="2:38" x14ac:dyDescent="0.25">
      <c r="B161" s="12" t="s">
        <v>17</v>
      </c>
      <c r="C161" s="13" t="s">
        <v>18</v>
      </c>
      <c r="D161" s="3" t="s">
        <v>10</v>
      </c>
      <c r="E161" s="49">
        <f>'Kalkulace a Porovnání'!E161</f>
        <v>0</v>
      </c>
      <c r="F161" s="49">
        <f>'Kalkulace a Porovnání'!F161</f>
        <v>0</v>
      </c>
      <c r="G161" s="49">
        <f>'Kalkulace a Porovnání'!G161</f>
        <v>0</v>
      </c>
      <c r="H161" s="32">
        <f>'Kalkulace a Porovnání'!H161</f>
        <v>0</v>
      </c>
      <c r="K161" s="12" t="s">
        <v>17</v>
      </c>
      <c r="L161" s="13" t="s">
        <v>18</v>
      </c>
      <c r="M161" s="3" t="s">
        <v>10</v>
      </c>
      <c r="N161" s="49">
        <f>'Kalkulace a Porovnání'!N161</f>
        <v>0</v>
      </c>
      <c r="O161" s="49">
        <f>'Kalkulace a Porovnání'!O161</f>
        <v>0</v>
      </c>
      <c r="P161" s="49">
        <f>'Kalkulace a Porovnání'!P161</f>
        <v>0</v>
      </c>
      <c r="Q161" s="32">
        <f>'Kalkulace a Porovnání'!Q161</f>
        <v>0</v>
      </c>
      <c r="T161" s="12" t="s">
        <v>17</v>
      </c>
      <c r="U161" s="13" t="s">
        <v>18</v>
      </c>
      <c r="V161" s="3" t="s">
        <v>10</v>
      </c>
      <c r="W161" s="49">
        <f>'Kalkulace a Porovnání'!W161</f>
        <v>0</v>
      </c>
      <c r="X161" s="49">
        <f>'Kalkulace a Porovnání'!X161</f>
        <v>0</v>
      </c>
      <c r="Y161" s="49">
        <f>'Kalkulace a Porovnání'!Y161</f>
        <v>0</v>
      </c>
      <c r="Z161" s="49">
        <f>'Kalkulace a Porovnání'!Z161</f>
        <v>0</v>
      </c>
      <c r="AA161" s="49">
        <f>'Kalkulace a Porovnání'!AA161</f>
        <v>0</v>
      </c>
      <c r="AB161" s="32">
        <f>'Kalkulace a Porovnání'!AB161</f>
        <v>0</v>
      </c>
      <c r="AC161" s="183"/>
      <c r="AD161" s="547"/>
      <c r="AG161" s="342"/>
      <c r="AH161" s="342"/>
      <c r="AI161" s="342"/>
      <c r="AJ161" s="342"/>
      <c r="AK161" s="547"/>
      <c r="AL161" s="183"/>
    </row>
    <row r="162" spans="2:38" x14ac:dyDescent="0.25">
      <c r="B162" s="9" t="s">
        <v>19</v>
      </c>
      <c r="C162" s="10" t="s">
        <v>20</v>
      </c>
      <c r="D162" s="11" t="s">
        <v>10</v>
      </c>
      <c r="E162" s="46">
        <f>'Kalkulace a Porovnání'!E162</f>
        <v>0</v>
      </c>
      <c r="F162" s="46">
        <f>'Kalkulace a Porovnání'!F162</f>
        <v>0</v>
      </c>
      <c r="G162" s="46">
        <f>'Kalkulace a Porovnání'!G162</f>
        <v>0</v>
      </c>
      <c r="H162" s="98">
        <f>'Kalkulace a Porovnání'!H162</f>
        <v>0</v>
      </c>
      <c r="K162" s="9" t="s">
        <v>19</v>
      </c>
      <c r="L162" s="10" t="s">
        <v>20</v>
      </c>
      <c r="M162" s="11" t="s">
        <v>10</v>
      </c>
      <c r="N162" s="46">
        <f>'Kalkulace a Porovnání'!N162</f>
        <v>0</v>
      </c>
      <c r="O162" s="46">
        <f>'Kalkulace a Porovnání'!O162</f>
        <v>0</v>
      </c>
      <c r="P162" s="46">
        <f>'Kalkulace a Porovnání'!P162</f>
        <v>0</v>
      </c>
      <c r="Q162" s="98">
        <f>'Kalkulace a Porovnání'!Q162</f>
        <v>0</v>
      </c>
      <c r="T162" s="9" t="s">
        <v>19</v>
      </c>
      <c r="U162" s="10" t="s">
        <v>20</v>
      </c>
      <c r="V162" s="11" t="s">
        <v>10</v>
      </c>
      <c r="W162" s="46">
        <f>'Kalkulace a Porovnání'!W162</f>
        <v>0</v>
      </c>
      <c r="X162" s="46">
        <f>'Kalkulace a Porovnání'!X162</f>
        <v>0</v>
      </c>
      <c r="Y162" s="46">
        <f>'Kalkulace a Porovnání'!Y162</f>
        <v>0</v>
      </c>
      <c r="Z162" s="46">
        <f>'Kalkulace a Porovnání'!Z162</f>
        <v>0</v>
      </c>
      <c r="AA162" s="46">
        <f>'Kalkulace a Porovnání'!AA162</f>
        <v>0</v>
      </c>
      <c r="AB162" s="98">
        <f>'Kalkulace a Porovnání'!AB162</f>
        <v>0</v>
      </c>
      <c r="AC162" s="183"/>
      <c r="AD162" s="547"/>
      <c r="AG162" s="342"/>
      <c r="AH162" s="342"/>
      <c r="AI162" s="342"/>
      <c r="AJ162" s="342"/>
      <c r="AK162" s="547"/>
      <c r="AL162" s="183"/>
    </row>
    <row r="163" spans="2:38" x14ac:dyDescent="0.25">
      <c r="B163" s="12" t="s">
        <v>21</v>
      </c>
      <c r="C163" s="12" t="s">
        <v>22</v>
      </c>
      <c r="D163" s="3" t="s">
        <v>10</v>
      </c>
      <c r="E163" s="49">
        <f>'Kalkulace a Porovnání'!E163</f>
        <v>0</v>
      </c>
      <c r="F163" s="49">
        <f>'Kalkulace a Porovnání'!F163</f>
        <v>0</v>
      </c>
      <c r="G163" s="49">
        <f>'Kalkulace a Porovnání'!G163</f>
        <v>0</v>
      </c>
      <c r="H163" s="32">
        <f>'Kalkulace a Porovnání'!H163</f>
        <v>0</v>
      </c>
      <c r="K163" s="12" t="s">
        <v>21</v>
      </c>
      <c r="L163" s="12" t="s">
        <v>22</v>
      </c>
      <c r="M163" s="3" t="s">
        <v>10</v>
      </c>
      <c r="N163" s="49">
        <f>'Kalkulace a Porovnání'!N163</f>
        <v>0</v>
      </c>
      <c r="O163" s="49">
        <f>'Kalkulace a Porovnání'!O163</f>
        <v>0</v>
      </c>
      <c r="P163" s="49">
        <f>'Kalkulace a Porovnání'!P163</f>
        <v>0</v>
      </c>
      <c r="Q163" s="32">
        <f>'Kalkulace a Porovnání'!Q163</f>
        <v>0</v>
      </c>
      <c r="T163" s="12" t="s">
        <v>21</v>
      </c>
      <c r="U163" s="12" t="s">
        <v>22</v>
      </c>
      <c r="V163" s="3" t="s">
        <v>10</v>
      </c>
      <c r="W163" s="49">
        <f>'Kalkulace a Porovnání'!W163</f>
        <v>0</v>
      </c>
      <c r="X163" s="49">
        <f>'Kalkulace a Porovnání'!X163</f>
        <v>0</v>
      </c>
      <c r="Y163" s="49">
        <f>'Kalkulace a Porovnání'!Y163</f>
        <v>0</v>
      </c>
      <c r="Z163" s="49">
        <f>'Kalkulace a Porovnání'!Z163</f>
        <v>0</v>
      </c>
      <c r="AA163" s="49">
        <f>'Kalkulace a Porovnání'!AA163</f>
        <v>0</v>
      </c>
      <c r="AB163" s="32">
        <f>'Kalkulace a Porovnání'!AB163</f>
        <v>0</v>
      </c>
      <c r="AC163" s="183"/>
      <c r="AD163" s="547"/>
      <c r="AG163" s="342"/>
      <c r="AH163" s="342"/>
      <c r="AI163" s="342"/>
      <c r="AJ163" s="342"/>
      <c r="AK163" s="547"/>
      <c r="AL163" s="183"/>
    </row>
    <row r="164" spans="2:38" x14ac:dyDescent="0.25">
      <c r="B164" s="12" t="s">
        <v>23</v>
      </c>
      <c r="C164" s="12" t="s">
        <v>24</v>
      </c>
      <c r="D164" s="3" t="s">
        <v>10</v>
      </c>
      <c r="E164" s="49">
        <f>'Kalkulace a Porovnání'!E164</f>
        <v>0</v>
      </c>
      <c r="F164" s="49">
        <f>'Kalkulace a Porovnání'!F164</f>
        <v>0</v>
      </c>
      <c r="G164" s="49">
        <f>'Kalkulace a Porovnání'!G164</f>
        <v>0</v>
      </c>
      <c r="H164" s="32">
        <f>'Kalkulace a Porovnání'!H164</f>
        <v>0</v>
      </c>
      <c r="K164" s="12" t="s">
        <v>23</v>
      </c>
      <c r="L164" s="12" t="s">
        <v>24</v>
      </c>
      <c r="M164" s="3" t="s">
        <v>10</v>
      </c>
      <c r="N164" s="49">
        <f>'Kalkulace a Porovnání'!N164</f>
        <v>0</v>
      </c>
      <c r="O164" s="49">
        <f>'Kalkulace a Porovnání'!O164</f>
        <v>0</v>
      </c>
      <c r="P164" s="49">
        <f>'Kalkulace a Porovnání'!P164</f>
        <v>0</v>
      </c>
      <c r="Q164" s="32">
        <f>'Kalkulace a Porovnání'!Q164</f>
        <v>0</v>
      </c>
      <c r="T164" s="12" t="s">
        <v>23</v>
      </c>
      <c r="U164" s="12" t="s">
        <v>24</v>
      </c>
      <c r="V164" s="3" t="s">
        <v>10</v>
      </c>
      <c r="W164" s="49">
        <f>'Kalkulace a Porovnání'!W164</f>
        <v>0</v>
      </c>
      <c r="X164" s="49">
        <f>'Kalkulace a Porovnání'!X164</f>
        <v>0</v>
      </c>
      <c r="Y164" s="49">
        <f>'Kalkulace a Porovnání'!Y164</f>
        <v>0</v>
      </c>
      <c r="Z164" s="49">
        <f>'Kalkulace a Porovnání'!Z164</f>
        <v>0</v>
      </c>
      <c r="AA164" s="49">
        <f>'Kalkulace a Porovnání'!AA164</f>
        <v>0</v>
      </c>
      <c r="AB164" s="32">
        <f>'Kalkulace a Porovnání'!AB164</f>
        <v>0</v>
      </c>
      <c r="AC164" s="183"/>
      <c r="AD164" s="547"/>
      <c r="AG164" s="342"/>
      <c r="AH164" s="342"/>
      <c r="AI164" s="342"/>
      <c r="AJ164" s="342"/>
      <c r="AK164" s="547"/>
      <c r="AL164" s="183"/>
    </row>
    <row r="165" spans="2:38" x14ac:dyDescent="0.25">
      <c r="B165" s="9" t="s">
        <v>25</v>
      </c>
      <c r="C165" s="10" t="s">
        <v>26</v>
      </c>
      <c r="D165" s="11" t="s">
        <v>10</v>
      </c>
      <c r="E165" s="46">
        <f>'Kalkulace a Porovnání'!E165</f>
        <v>0</v>
      </c>
      <c r="F165" s="46">
        <f>'Kalkulace a Porovnání'!F165</f>
        <v>0</v>
      </c>
      <c r="G165" s="46">
        <f>'Kalkulace a Porovnání'!G165</f>
        <v>0</v>
      </c>
      <c r="H165" s="98">
        <f>'Kalkulace a Porovnání'!H165</f>
        <v>0</v>
      </c>
      <c r="K165" s="9" t="s">
        <v>25</v>
      </c>
      <c r="L165" s="10" t="s">
        <v>26</v>
      </c>
      <c r="M165" s="11" t="s">
        <v>10</v>
      </c>
      <c r="N165" s="46">
        <f>'Kalkulace a Porovnání'!N165</f>
        <v>0</v>
      </c>
      <c r="O165" s="46">
        <f>'Kalkulace a Porovnání'!O165</f>
        <v>0</v>
      </c>
      <c r="P165" s="46">
        <f>'Kalkulace a Porovnání'!P165</f>
        <v>0</v>
      </c>
      <c r="Q165" s="98">
        <f>'Kalkulace a Porovnání'!Q165</f>
        <v>0</v>
      </c>
      <c r="T165" s="9" t="s">
        <v>25</v>
      </c>
      <c r="U165" s="10" t="s">
        <v>26</v>
      </c>
      <c r="V165" s="11" t="s">
        <v>10</v>
      </c>
      <c r="W165" s="46">
        <f>'Kalkulace a Porovnání'!W165</f>
        <v>0</v>
      </c>
      <c r="X165" s="46">
        <f>'Kalkulace a Porovnání'!X165</f>
        <v>0</v>
      </c>
      <c r="Y165" s="46">
        <f>'Kalkulace a Porovnání'!Y165</f>
        <v>0</v>
      </c>
      <c r="Z165" s="46">
        <f>'Kalkulace a Porovnání'!Z165</f>
        <v>0</v>
      </c>
      <c r="AA165" s="46">
        <f>'Kalkulace a Porovnání'!AA165</f>
        <v>0</v>
      </c>
      <c r="AB165" s="98">
        <f>'Kalkulace a Porovnání'!AB165</f>
        <v>0</v>
      </c>
      <c r="AC165" s="183"/>
      <c r="AD165" s="547"/>
      <c r="AG165" s="342"/>
      <c r="AH165" s="342"/>
      <c r="AI165" s="342"/>
      <c r="AJ165" s="342"/>
      <c r="AK165" s="547"/>
      <c r="AL165" s="183"/>
    </row>
    <row r="166" spans="2:38" x14ac:dyDescent="0.25">
      <c r="B166" s="12" t="s">
        <v>27</v>
      </c>
      <c r="C166" s="13" t="s">
        <v>28</v>
      </c>
      <c r="D166" s="3" t="s">
        <v>10</v>
      </c>
      <c r="E166" s="49">
        <f>'Kalkulace a Porovnání'!E166</f>
        <v>0</v>
      </c>
      <c r="F166" s="49">
        <f>'Kalkulace a Porovnání'!F166</f>
        <v>0</v>
      </c>
      <c r="G166" s="49">
        <f>'Kalkulace a Porovnání'!G166</f>
        <v>0</v>
      </c>
      <c r="H166" s="32">
        <f>'Kalkulace a Porovnání'!H166</f>
        <v>0</v>
      </c>
      <c r="K166" s="12" t="s">
        <v>27</v>
      </c>
      <c r="L166" s="13" t="s">
        <v>28</v>
      </c>
      <c r="M166" s="3" t="s">
        <v>10</v>
      </c>
      <c r="N166" s="49">
        <f>'Kalkulace a Porovnání'!N166</f>
        <v>0</v>
      </c>
      <c r="O166" s="49">
        <f>'Kalkulace a Porovnání'!O166</f>
        <v>0</v>
      </c>
      <c r="P166" s="49">
        <f>'Kalkulace a Porovnání'!P166</f>
        <v>0</v>
      </c>
      <c r="Q166" s="32">
        <f>'Kalkulace a Porovnání'!Q166</f>
        <v>0</v>
      </c>
      <c r="T166" s="12" t="s">
        <v>27</v>
      </c>
      <c r="U166" s="13" t="s">
        <v>28</v>
      </c>
      <c r="V166" s="3" t="s">
        <v>10</v>
      </c>
      <c r="W166" s="49">
        <f>'Kalkulace a Porovnání'!W166</f>
        <v>0</v>
      </c>
      <c r="X166" s="49">
        <f>'Kalkulace a Porovnání'!X166</f>
        <v>0</v>
      </c>
      <c r="Y166" s="49">
        <f>'Kalkulace a Porovnání'!Y166</f>
        <v>0</v>
      </c>
      <c r="Z166" s="49">
        <f>'Kalkulace a Porovnání'!Z166</f>
        <v>0</v>
      </c>
      <c r="AA166" s="49">
        <f>'Kalkulace a Porovnání'!AA166</f>
        <v>0</v>
      </c>
      <c r="AB166" s="32">
        <f>'Kalkulace a Porovnání'!AB166</f>
        <v>0</v>
      </c>
      <c r="AC166" s="183"/>
      <c r="AD166" s="547"/>
      <c r="AG166" s="342"/>
      <c r="AH166" s="342"/>
      <c r="AI166" s="342"/>
      <c r="AJ166" s="342"/>
      <c r="AK166" s="547"/>
      <c r="AL166" s="183"/>
    </row>
    <row r="167" spans="2:38" x14ac:dyDescent="0.25">
      <c r="B167" s="12" t="s">
        <v>29</v>
      </c>
      <c r="C167" s="13" t="s">
        <v>30</v>
      </c>
      <c r="D167" s="3" t="s">
        <v>10</v>
      </c>
      <c r="E167" s="49">
        <f>'Kalkulace a Porovnání'!E167</f>
        <v>0</v>
      </c>
      <c r="F167" s="49">
        <f>'Kalkulace a Porovnání'!F167</f>
        <v>0</v>
      </c>
      <c r="G167" s="49">
        <f>'Kalkulace a Porovnání'!G167</f>
        <v>0</v>
      </c>
      <c r="H167" s="32">
        <f>'Kalkulace a Porovnání'!H167</f>
        <v>0</v>
      </c>
      <c r="K167" s="12" t="s">
        <v>29</v>
      </c>
      <c r="L167" s="13" t="s">
        <v>30</v>
      </c>
      <c r="M167" s="3" t="s">
        <v>10</v>
      </c>
      <c r="N167" s="49">
        <f>'Kalkulace a Porovnání'!N167</f>
        <v>0</v>
      </c>
      <c r="O167" s="49">
        <f>'Kalkulace a Porovnání'!O167</f>
        <v>0</v>
      </c>
      <c r="P167" s="49">
        <f>'Kalkulace a Porovnání'!P167</f>
        <v>0</v>
      </c>
      <c r="Q167" s="32">
        <f>'Kalkulace a Porovnání'!Q167</f>
        <v>0</v>
      </c>
      <c r="T167" s="12" t="s">
        <v>29</v>
      </c>
      <c r="U167" s="13" t="s">
        <v>30</v>
      </c>
      <c r="V167" s="3" t="s">
        <v>10</v>
      </c>
      <c r="W167" s="49">
        <f>'Kalkulace a Porovnání'!W167</f>
        <v>0</v>
      </c>
      <c r="X167" s="49">
        <f>'Kalkulace a Porovnání'!X167</f>
        <v>0</v>
      </c>
      <c r="Y167" s="49">
        <f>'Kalkulace a Porovnání'!Y167</f>
        <v>0</v>
      </c>
      <c r="Z167" s="49">
        <f>'Kalkulace a Porovnání'!Z167</f>
        <v>0</v>
      </c>
      <c r="AA167" s="49">
        <f>'Kalkulace a Porovnání'!AA167</f>
        <v>0</v>
      </c>
      <c r="AB167" s="32">
        <f>'Kalkulace a Porovnání'!AB167</f>
        <v>0</v>
      </c>
      <c r="AC167" s="183"/>
      <c r="AD167" s="547"/>
      <c r="AG167" s="342"/>
      <c r="AH167" s="342"/>
      <c r="AI167" s="342"/>
      <c r="AJ167" s="342"/>
      <c r="AK167" s="547"/>
      <c r="AL167" s="183"/>
    </row>
    <row r="168" spans="2:38" x14ac:dyDescent="0.25">
      <c r="B168" s="9" t="s">
        <v>31</v>
      </c>
      <c r="C168" s="10" t="s">
        <v>32</v>
      </c>
      <c r="D168" s="11" t="s">
        <v>10</v>
      </c>
      <c r="E168" s="46">
        <f>'Kalkulace a Porovnání'!E168</f>
        <v>0</v>
      </c>
      <c r="F168" s="46">
        <f>'Kalkulace a Porovnání'!F168</f>
        <v>0</v>
      </c>
      <c r="G168" s="46">
        <f>'Kalkulace a Porovnání'!G168</f>
        <v>0</v>
      </c>
      <c r="H168" s="98">
        <f>'Kalkulace a Porovnání'!H168</f>
        <v>0.14000000000000001</v>
      </c>
      <c r="K168" s="9" t="s">
        <v>31</v>
      </c>
      <c r="L168" s="10" t="s">
        <v>32</v>
      </c>
      <c r="M168" s="11" t="s">
        <v>10</v>
      </c>
      <c r="N168" s="46">
        <f>'Kalkulace a Porovnání'!N168</f>
        <v>0</v>
      </c>
      <c r="O168" s="46">
        <f>'Kalkulace a Porovnání'!O168</f>
        <v>0</v>
      </c>
      <c r="P168" s="46">
        <f>'Kalkulace a Porovnání'!P168</f>
        <v>0</v>
      </c>
      <c r="Q168" s="98">
        <f>'Kalkulace a Porovnání'!Q168</f>
        <v>0</v>
      </c>
      <c r="T168" s="9" t="s">
        <v>31</v>
      </c>
      <c r="U168" s="10" t="s">
        <v>32</v>
      </c>
      <c r="V168" s="11" t="s">
        <v>10</v>
      </c>
      <c r="W168" s="46">
        <f>'Kalkulace a Porovnání'!W168</f>
        <v>0</v>
      </c>
      <c r="X168" s="46">
        <f>'Kalkulace a Porovnání'!X168</f>
        <v>0</v>
      </c>
      <c r="Y168" s="46">
        <f>'Kalkulace a Porovnání'!Y168</f>
        <v>0</v>
      </c>
      <c r="Z168" s="46">
        <f>'Kalkulace a Porovnání'!Z168</f>
        <v>0</v>
      </c>
      <c r="AA168" s="46">
        <f>'Kalkulace a Porovnání'!AA168</f>
        <v>0.14000000000000001</v>
      </c>
      <c r="AB168" s="98">
        <f>'Kalkulace a Porovnání'!AB168</f>
        <v>-0.14000000000000001</v>
      </c>
      <c r="AC168" s="183"/>
      <c r="AD168" s="547"/>
      <c r="AG168" s="342"/>
      <c r="AH168" s="342"/>
      <c r="AI168" s="342"/>
      <c r="AJ168" s="342"/>
      <c r="AK168" s="547"/>
      <c r="AL168" s="183"/>
    </row>
    <row r="169" spans="2:38" x14ac:dyDescent="0.25">
      <c r="B169" s="12" t="s">
        <v>33</v>
      </c>
      <c r="C169" s="21" t="s">
        <v>34</v>
      </c>
      <c r="D169" s="3" t="s">
        <v>10</v>
      </c>
      <c r="E169" s="49">
        <f>'Kalkulace a Porovnání'!E169</f>
        <v>0</v>
      </c>
      <c r="F169" s="49">
        <f>'Kalkulace a Porovnání'!F169</f>
        <v>0</v>
      </c>
      <c r="G169" s="49">
        <f>'Kalkulace a Porovnání'!G169</f>
        <v>0</v>
      </c>
      <c r="H169" s="32">
        <f>'Kalkulace a Porovnání'!H169</f>
        <v>0</v>
      </c>
      <c r="K169" s="12" t="s">
        <v>33</v>
      </c>
      <c r="L169" s="21" t="s">
        <v>34</v>
      </c>
      <c r="M169" s="3" t="s">
        <v>10</v>
      </c>
      <c r="N169" s="49">
        <f>'Kalkulace a Porovnání'!N169</f>
        <v>0</v>
      </c>
      <c r="O169" s="49">
        <f>'Kalkulace a Porovnání'!O169</f>
        <v>0</v>
      </c>
      <c r="P169" s="49">
        <f>'Kalkulace a Porovnání'!P169</f>
        <v>0</v>
      </c>
      <c r="Q169" s="32">
        <f>'Kalkulace a Porovnání'!Q169</f>
        <v>0</v>
      </c>
      <c r="T169" s="12" t="s">
        <v>33</v>
      </c>
      <c r="U169" s="21" t="s">
        <v>34</v>
      </c>
      <c r="V169" s="3" t="s">
        <v>10</v>
      </c>
      <c r="W169" s="49">
        <f>'Kalkulace a Porovnání'!W169</f>
        <v>0</v>
      </c>
      <c r="X169" s="49">
        <f>'Kalkulace a Porovnání'!X169</f>
        <v>0</v>
      </c>
      <c r="Y169" s="49">
        <f>'Kalkulace a Porovnání'!Y169</f>
        <v>0</v>
      </c>
      <c r="Z169" s="49">
        <f>'Kalkulace a Porovnání'!Z169</f>
        <v>0</v>
      </c>
      <c r="AA169" s="49">
        <f>'Kalkulace a Porovnání'!AA169</f>
        <v>0</v>
      </c>
      <c r="AB169" s="32">
        <f>'Kalkulace a Porovnání'!AB169</f>
        <v>0</v>
      </c>
      <c r="AC169" s="183"/>
      <c r="AD169" s="547"/>
      <c r="AG169" s="547"/>
      <c r="AH169" s="547"/>
      <c r="AI169" s="342"/>
      <c r="AJ169" s="342"/>
      <c r="AK169" s="547"/>
      <c r="AL169" s="183"/>
    </row>
    <row r="170" spans="2:38" x14ac:dyDescent="0.25">
      <c r="B170" s="12" t="s">
        <v>35</v>
      </c>
      <c r="C170" s="13" t="s">
        <v>36</v>
      </c>
      <c r="D170" s="3" t="s">
        <v>10</v>
      </c>
      <c r="E170" s="49">
        <f>'Kalkulace a Porovnání'!E170</f>
        <v>0</v>
      </c>
      <c r="F170" s="49">
        <f>'Kalkulace a Porovnání'!F170</f>
        <v>0</v>
      </c>
      <c r="G170" s="49">
        <f>'Kalkulace a Porovnání'!G170</f>
        <v>0</v>
      </c>
      <c r="H170" s="32">
        <f>'Kalkulace a Porovnání'!H170</f>
        <v>0</v>
      </c>
      <c r="K170" s="12" t="s">
        <v>35</v>
      </c>
      <c r="L170" s="13" t="s">
        <v>36</v>
      </c>
      <c r="M170" s="3" t="s">
        <v>10</v>
      </c>
      <c r="N170" s="49">
        <f>'Kalkulace a Porovnání'!N170</f>
        <v>0</v>
      </c>
      <c r="O170" s="49">
        <f>'Kalkulace a Porovnání'!O170</f>
        <v>0</v>
      </c>
      <c r="P170" s="49">
        <f>'Kalkulace a Porovnání'!P170</f>
        <v>0</v>
      </c>
      <c r="Q170" s="32">
        <f>'Kalkulace a Porovnání'!Q170</f>
        <v>0</v>
      </c>
      <c r="T170" s="12" t="s">
        <v>35</v>
      </c>
      <c r="U170" s="13" t="s">
        <v>36</v>
      </c>
      <c r="V170" s="3" t="s">
        <v>10</v>
      </c>
      <c r="W170" s="49">
        <f>'Kalkulace a Porovnání'!W170</f>
        <v>0</v>
      </c>
      <c r="X170" s="49">
        <f>'Kalkulace a Porovnání'!X170</f>
        <v>0</v>
      </c>
      <c r="Y170" s="49">
        <f>'Kalkulace a Porovnání'!Y170</f>
        <v>0</v>
      </c>
      <c r="Z170" s="49">
        <f>'Kalkulace a Porovnání'!Z170</f>
        <v>0</v>
      </c>
      <c r="AA170" s="49">
        <f>'Kalkulace a Porovnání'!AA170</f>
        <v>0</v>
      </c>
      <c r="AB170" s="32">
        <f>'Kalkulace a Porovnání'!AB170</f>
        <v>0</v>
      </c>
      <c r="AC170" s="183"/>
      <c r="AD170" s="547"/>
      <c r="AG170" s="547"/>
      <c r="AH170" s="547"/>
      <c r="AI170" s="342"/>
      <c r="AJ170" s="342"/>
      <c r="AK170" s="547"/>
      <c r="AL170" s="183"/>
    </row>
    <row r="171" spans="2:38" x14ac:dyDescent="0.25">
      <c r="B171" s="12" t="s">
        <v>37</v>
      </c>
      <c r="C171" s="13" t="s">
        <v>38</v>
      </c>
      <c r="D171" s="3" t="s">
        <v>10</v>
      </c>
      <c r="E171" s="49">
        <f>'Kalkulace a Porovnání'!E171</f>
        <v>0</v>
      </c>
      <c r="F171" s="49">
        <f>'Kalkulace a Porovnání'!F171</f>
        <v>0</v>
      </c>
      <c r="G171" s="49">
        <f>'Kalkulace a Porovnání'!G171</f>
        <v>0</v>
      </c>
      <c r="H171" s="32">
        <f>'Kalkulace a Porovnání'!H171</f>
        <v>0.14000000000000001</v>
      </c>
      <c r="K171" s="12" t="s">
        <v>37</v>
      </c>
      <c r="L171" s="13" t="s">
        <v>38</v>
      </c>
      <c r="M171" s="3" t="s">
        <v>10</v>
      </c>
      <c r="N171" s="49">
        <f>'Kalkulace a Porovnání'!N171</f>
        <v>0</v>
      </c>
      <c r="O171" s="49">
        <f>'Kalkulace a Porovnání'!O171</f>
        <v>0</v>
      </c>
      <c r="P171" s="49">
        <f>'Kalkulace a Porovnání'!P171</f>
        <v>0</v>
      </c>
      <c r="Q171" s="32">
        <f>'Kalkulace a Porovnání'!Q171</f>
        <v>0</v>
      </c>
      <c r="T171" s="12" t="s">
        <v>37</v>
      </c>
      <c r="U171" s="13" t="s">
        <v>38</v>
      </c>
      <c r="V171" s="3" t="s">
        <v>10</v>
      </c>
      <c r="W171" s="49">
        <f>'Kalkulace a Porovnání'!W171</f>
        <v>0</v>
      </c>
      <c r="X171" s="49">
        <f>'Kalkulace a Porovnání'!X171</f>
        <v>0</v>
      </c>
      <c r="Y171" s="49">
        <f>'Kalkulace a Porovnání'!Y171</f>
        <v>0</v>
      </c>
      <c r="Z171" s="49">
        <f>'Kalkulace a Porovnání'!Z171</f>
        <v>0</v>
      </c>
      <c r="AA171" s="49">
        <f>'Kalkulace a Porovnání'!AA171</f>
        <v>0.14000000000000001</v>
      </c>
      <c r="AB171" s="32">
        <f>'Kalkulace a Porovnání'!AB171</f>
        <v>-0.14000000000000001</v>
      </c>
      <c r="AC171" s="183"/>
      <c r="AD171" s="547"/>
      <c r="AG171" s="342"/>
      <c r="AH171" s="342"/>
      <c r="AI171" s="342"/>
      <c r="AJ171" s="342"/>
      <c r="AK171" s="547"/>
      <c r="AL171" s="183"/>
    </row>
    <row r="172" spans="2:38" x14ac:dyDescent="0.25">
      <c r="B172" s="12" t="s">
        <v>39</v>
      </c>
      <c r="C172" s="21" t="s">
        <v>40</v>
      </c>
      <c r="D172" s="3" t="s">
        <v>10</v>
      </c>
      <c r="E172" s="49">
        <f>'Kalkulace a Porovnání'!E172</f>
        <v>0</v>
      </c>
      <c r="F172" s="49">
        <f>'Kalkulace a Porovnání'!F172</f>
        <v>0</v>
      </c>
      <c r="G172" s="49">
        <f>'Kalkulace a Porovnání'!G172</f>
        <v>0</v>
      </c>
      <c r="H172" s="32">
        <f>'Kalkulace a Porovnání'!H172</f>
        <v>0</v>
      </c>
      <c r="K172" s="12" t="s">
        <v>39</v>
      </c>
      <c r="L172" s="21" t="s">
        <v>40</v>
      </c>
      <c r="M172" s="3" t="s">
        <v>10</v>
      </c>
      <c r="N172" s="49">
        <f>'Kalkulace a Porovnání'!N172</f>
        <v>0</v>
      </c>
      <c r="O172" s="49">
        <f>'Kalkulace a Porovnání'!O172</f>
        <v>0</v>
      </c>
      <c r="P172" s="49">
        <f>'Kalkulace a Porovnání'!P172</f>
        <v>0</v>
      </c>
      <c r="Q172" s="32">
        <f>'Kalkulace a Porovnání'!Q172</f>
        <v>0</v>
      </c>
      <c r="T172" s="12" t="s">
        <v>39</v>
      </c>
      <c r="U172" s="21" t="s">
        <v>40</v>
      </c>
      <c r="V172" s="3" t="s">
        <v>10</v>
      </c>
      <c r="W172" s="49">
        <f>'Kalkulace a Porovnání'!W172</f>
        <v>0</v>
      </c>
      <c r="X172" s="49">
        <f>'Kalkulace a Porovnání'!X172</f>
        <v>0</v>
      </c>
      <c r="Y172" s="49">
        <f>'Kalkulace a Porovnání'!Y172</f>
        <v>0</v>
      </c>
      <c r="Z172" s="49">
        <f>'Kalkulace a Porovnání'!Z172</f>
        <v>0</v>
      </c>
      <c r="AA172" s="49">
        <f>'Kalkulace a Porovnání'!AA172</f>
        <v>0</v>
      </c>
      <c r="AB172" s="32">
        <f>'Kalkulace a Porovnání'!AB172</f>
        <v>0</v>
      </c>
      <c r="AC172" s="183"/>
      <c r="AD172" s="547"/>
      <c r="AG172" s="342"/>
      <c r="AH172" s="342"/>
      <c r="AI172" s="342"/>
      <c r="AJ172" s="342"/>
      <c r="AK172" s="547"/>
      <c r="AL172" s="183"/>
    </row>
    <row r="173" spans="2:38" x14ac:dyDescent="0.25">
      <c r="B173" s="9" t="s">
        <v>41</v>
      </c>
      <c r="C173" s="10" t="s">
        <v>42</v>
      </c>
      <c r="D173" s="11" t="s">
        <v>10</v>
      </c>
      <c r="E173" s="46">
        <f>'Kalkulace a Porovnání'!E173</f>
        <v>0</v>
      </c>
      <c r="F173" s="46">
        <f>'Kalkulace a Porovnání'!F173</f>
        <v>0</v>
      </c>
      <c r="G173" s="46">
        <f>'Kalkulace a Porovnání'!G173</f>
        <v>0</v>
      </c>
      <c r="H173" s="98">
        <f>'Kalkulace a Porovnání'!H173</f>
        <v>0</v>
      </c>
      <c r="K173" s="9" t="s">
        <v>41</v>
      </c>
      <c r="L173" s="10" t="s">
        <v>42</v>
      </c>
      <c r="M173" s="11" t="s">
        <v>10</v>
      </c>
      <c r="N173" s="46">
        <f>'Kalkulace a Porovnání'!N173</f>
        <v>0</v>
      </c>
      <c r="O173" s="46">
        <f>'Kalkulace a Porovnání'!O173</f>
        <v>0</v>
      </c>
      <c r="P173" s="46">
        <f>'Kalkulace a Porovnání'!P173</f>
        <v>0</v>
      </c>
      <c r="Q173" s="98">
        <f>'Kalkulace a Porovnání'!Q173</f>
        <v>0</v>
      </c>
      <c r="T173" s="9" t="s">
        <v>41</v>
      </c>
      <c r="U173" s="10" t="s">
        <v>42</v>
      </c>
      <c r="V173" s="11" t="s">
        <v>10</v>
      </c>
      <c r="W173" s="46">
        <f>'Kalkulace a Porovnání'!W173</f>
        <v>0</v>
      </c>
      <c r="X173" s="46">
        <f>'Kalkulace a Porovnání'!X173</f>
        <v>0</v>
      </c>
      <c r="Y173" s="46">
        <f>'Kalkulace a Porovnání'!Y173</f>
        <v>0</v>
      </c>
      <c r="Z173" s="46">
        <f>'Kalkulace a Porovnání'!Z173</f>
        <v>0</v>
      </c>
      <c r="AA173" s="46">
        <f>'Kalkulace a Porovnání'!AA173</f>
        <v>0</v>
      </c>
      <c r="AB173" s="98">
        <f>'Kalkulace a Porovnání'!AB173</f>
        <v>0</v>
      </c>
      <c r="AC173" s="183"/>
      <c r="AD173" s="547"/>
      <c r="AG173" s="548"/>
      <c r="AH173" s="548"/>
      <c r="AI173" s="342"/>
      <c r="AJ173" s="342"/>
      <c r="AK173" s="547"/>
      <c r="AL173" s="183"/>
    </row>
    <row r="174" spans="2:38" x14ac:dyDescent="0.25">
      <c r="B174" s="12" t="s">
        <v>43</v>
      </c>
      <c r="C174" s="13" t="s">
        <v>44</v>
      </c>
      <c r="D174" s="3" t="s">
        <v>10</v>
      </c>
      <c r="E174" s="49">
        <f>'Kalkulace a Porovnání'!E174</f>
        <v>0</v>
      </c>
      <c r="F174" s="49">
        <f>'Kalkulace a Porovnání'!F174</f>
        <v>0</v>
      </c>
      <c r="G174" s="49">
        <f>'Kalkulace a Porovnání'!G174</f>
        <v>0</v>
      </c>
      <c r="H174" s="32">
        <f>'Kalkulace a Porovnání'!H174</f>
        <v>0</v>
      </c>
      <c r="K174" s="12" t="s">
        <v>43</v>
      </c>
      <c r="L174" s="13" t="s">
        <v>44</v>
      </c>
      <c r="M174" s="3" t="s">
        <v>10</v>
      </c>
      <c r="N174" s="49">
        <f>'Kalkulace a Porovnání'!N174</f>
        <v>0</v>
      </c>
      <c r="O174" s="49">
        <f>'Kalkulace a Porovnání'!O174</f>
        <v>0</v>
      </c>
      <c r="P174" s="49">
        <f>'Kalkulace a Porovnání'!P174</f>
        <v>0</v>
      </c>
      <c r="Q174" s="32">
        <f>'Kalkulace a Porovnání'!Q174</f>
        <v>0</v>
      </c>
      <c r="T174" s="12" t="s">
        <v>43</v>
      </c>
      <c r="U174" s="13" t="s">
        <v>44</v>
      </c>
      <c r="V174" s="3" t="s">
        <v>10</v>
      </c>
      <c r="W174" s="49">
        <f>'Kalkulace a Porovnání'!W174</f>
        <v>0</v>
      </c>
      <c r="X174" s="49">
        <f>'Kalkulace a Porovnání'!X174</f>
        <v>0</v>
      </c>
      <c r="Y174" s="49">
        <f>'Kalkulace a Porovnání'!Y174</f>
        <v>0</v>
      </c>
      <c r="Z174" s="49">
        <f>'Kalkulace a Porovnání'!Z174</f>
        <v>0</v>
      </c>
      <c r="AA174" s="49">
        <f>'Kalkulace a Porovnání'!AA174</f>
        <v>0</v>
      </c>
      <c r="AB174" s="32">
        <f>'Kalkulace a Porovnání'!AB174</f>
        <v>0</v>
      </c>
      <c r="AC174" s="183"/>
      <c r="AD174" s="547"/>
      <c r="AG174" s="972"/>
      <c r="AH174" s="972"/>
      <c r="AI174" s="342"/>
      <c r="AJ174" s="342"/>
      <c r="AK174" s="547"/>
      <c r="AL174" s="183"/>
    </row>
    <row r="175" spans="2:38" x14ac:dyDescent="0.25">
      <c r="B175" s="12" t="s">
        <v>45</v>
      </c>
      <c r="C175" s="12" t="s">
        <v>46</v>
      </c>
      <c r="D175" s="3" t="s">
        <v>10</v>
      </c>
      <c r="E175" s="49">
        <f>'Kalkulace a Porovnání'!E175</f>
        <v>0</v>
      </c>
      <c r="F175" s="49">
        <f>'Kalkulace a Porovnání'!F175</f>
        <v>0</v>
      </c>
      <c r="G175" s="49">
        <f>'Kalkulace a Porovnání'!G175</f>
        <v>0</v>
      </c>
      <c r="H175" s="32">
        <f>'Kalkulace a Porovnání'!H175</f>
        <v>0</v>
      </c>
      <c r="K175" s="12" t="s">
        <v>45</v>
      </c>
      <c r="L175" s="12" t="s">
        <v>46</v>
      </c>
      <c r="M175" s="3" t="s">
        <v>10</v>
      </c>
      <c r="N175" s="49">
        <f>'Kalkulace a Porovnání'!N175</f>
        <v>0</v>
      </c>
      <c r="O175" s="49">
        <f>'Kalkulace a Porovnání'!O175</f>
        <v>0</v>
      </c>
      <c r="P175" s="49">
        <f>'Kalkulace a Porovnání'!P175</f>
        <v>0</v>
      </c>
      <c r="Q175" s="32">
        <f>'Kalkulace a Porovnání'!Q175</f>
        <v>0</v>
      </c>
      <c r="T175" s="12" t="s">
        <v>45</v>
      </c>
      <c r="U175" s="12" t="s">
        <v>46</v>
      </c>
      <c r="V175" s="3" t="s">
        <v>10</v>
      </c>
      <c r="W175" s="49">
        <f>'Kalkulace a Porovnání'!W175</f>
        <v>0</v>
      </c>
      <c r="X175" s="49">
        <f>'Kalkulace a Porovnání'!X175</f>
        <v>0</v>
      </c>
      <c r="Y175" s="49">
        <f>'Kalkulace a Porovnání'!Y175</f>
        <v>0</v>
      </c>
      <c r="Z175" s="49">
        <f>'Kalkulace a Porovnání'!Z175</f>
        <v>0</v>
      </c>
      <c r="AA175" s="49">
        <f>'Kalkulace a Porovnání'!AA175</f>
        <v>0</v>
      </c>
      <c r="AB175" s="32">
        <f>'Kalkulace a Porovnání'!AB175</f>
        <v>0</v>
      </c>
      <c r="AC175" s="183"/>
      <c r="AD175" s="547"/>
      <c r="AG175" s="972"/>
      <c r="AH175" s="972"/>
      <c r="AI175" s="342"/>
      <c r="AJ175" s="342"/>
      <c r="AK175" s="547"/>
      <c r="AL175" s="183"/>
    </row>
    <row r="176" spans="2:38" x14ac:dyDescent="0.25">
      <c r="B176" s="12" t="s">
        <v>47</v>
      </c>
      <c r="C176" s="13" t="s">
        <v>48</v>
      </c>
      <c r="D176" s="3" t="s">
        <v>10</v>
      </c>
      <c r="E176" s="49">
        <f>'Kalkulace a Porovnání'!E176</f>
        <v>0</v>
      </c>
      <c r="F176" s="49">
        <f>'Kalkulace a Porovnání'!F176</f>
        <v>0</v>
      </c>
      <c r="G176" s="49">
        <f>'Kalkulace a Porovnání'!G176</f>
        <v>0</v>
      </c>
      <c r="H176" s="32">
        <f>'Kalkulace a Porovnání'!H176</f>
        <v>0</v>
      </c>
      <c r="K176" s="12" t="s">
        <v>47</v>
      </c>
      <c r="L176" s="13" t="s">
        <v>48</v>
      </c>
      <c r="M176" s="3" t="s">
        <v>10</v>
      </c>
      <c r="N176" s="49">
        <f>'Kalkulace a Porovnání'!N176</f>
        <v>0</v>
      </c>
      <c r="O176" s="49">
        <f>'Kalkulace a Porovnání'!O176</f>
        <v>0</v>
      </c>
      <c r="P176" s="49">
        <f>'Kalkulace a Porovnání'!P176</f>
        <v>0</v>
      </c>
      <c r="Q176" s="32">
        <f>'Kalkulace a Porovnání'!Q176</f>
        <v>0</v>
      </c>
      <c r="T176" s="12" t="s">
        <v>47</v>
      </c>
      <c r="U176" s="13" t="s">
        <v>48</v>
      </c>
      <c r="V176" s="3" t="s">
        <v>10</v>
      </c>
      <c r="W176" s="49">
        <f>'Kalkulace a Porovnání'!W176</f>
        <v>0</v>
      </c>
      <c r="X176" s="49">
        <f>'Kalkulace a Porovnání'!X176</f>
        <v>0</v>
      </c>
      <c r="Y176" s="49">
        <f>'Kalkulace a Porovnání'!Y176</f>
        <v>0</v>
      </c>
      <c r="Z176" s="49">
        <f>'Kalkulace a Porovnání'!Z176</f>
        <v>0</v>
      </c>
      <c r="AA176" s="49">
        <f>'Kalkulace a Porovnání'!AA176</f>
        <v>0</v>
      </c>
      <c r="AB176" s="32">
        <f>'Kalkulace a Porovnání'!AB176</f>
        <v>0</v>
      </c>
      <c r="AC176" s="183"/>
      <c r="AD176" s="547"/>
      <c r="AG176" s="545"/>
      <c r="AH176" s="545"/>
      <c r="AI176" s="342"/>
      <c r="AJ176" s="342"/>
      <c r="AK176" s="547"/>
      <c r="AL176" s="183"/>
    </row>
    <row r="177" spans="2:38" x14ac:dyDescent="0.25">
      <c r="B177" s="9" t="s">
        <v>49</v>
      </c>
      <c r="C177" s="10" t="s">
        <v>50</v>
      </c>
      <c r="D177" s="11" t="s">
        <v>10</v>
      </c>
      <c r="E177" s="49">
        <f>'Kalkulace a Porovnání'!E177</f>
        <v>0</v>
      </c>
      <c r="F177" s="49">
        <f>'Kalkulace a Porovnání'!F177</f>
        <v>0</v>
      </c>
      <c r="G177" s="49">
        <f>'Kalkulace a Porovnání'!G177</f>
        <v>0</v>
      </c>
      <c r="H177" s="32">
        <f>'Kalkulace a Porovnání'!H177</f>
        <v>0</v>
      </c>
      <c r="K177" s="9" t="s">
        <v>49</v>
      </c>
      <c r="L177" s="10" t="s">
        <v>50</v>
      </c>
      <c r="M177" s="11" t="s">
        <v>10</v>
      </c>
      <c r="N177" s="49">
        <f>'Kalkulace a Porovnání'!N177</f>
        <v>0</v>
      </c>
      <c r="O177" s="49">
        <f>'Kalkulace a Porovnání'!O177</f>
        <v>0</v>
      </c>
      <c r="P177" s="49">
        <f>'Kalkulace a Porovnání'!P177</f>
        <v>0</v>
      </c>
      <c r="Q177" s="32">
        <f>'Kalkulace a Porovnání'!Q177</f>
        <v>0</v>
      </c>
      <c r="T177" s="9" t="s">
        <v>49</v>
      </c>
      <c r="U177" s="10" t="s">
        <v>50</v>
      </c>
      <c r="V177" s="11" t="s">
        <v>10</v>
      </c>
      <c r="W177" s="49">
        <f>'Kalkulace a Porovnání'!W177</f>
        <v>0</v>
      </c>
      <c r="X177" s="49">
        <f>'Kalkulace a Porovnání'!X177</f>
        <v>0</v>
      </c>
      <c r="Y177" s="49">
        <f>'Kalkulace a Porovnání'!Y177</f>
        <v>0</v>
      </c>
      <c r="Z177" s="49">
        <f>'Kalkulace a Porovnání'!Z177</f>
        <v>0</v>
      </c>
      <c r="AA177" s="49">
        <f>'Kalkulace a Porovnání'!AA177</f>
        <v>0</v>
      </c>
      <c r="AB177" s="32">
        <f>'Kalkulace a Porovnání'!AB177</f>
        <v>0</v>
      </c>
      <c r="AC177" s="183"/>
      <c r="AD177" s="547"/>
      <c r="AG177" s="184"/>
      <c r="AH177" s="184"/>
      <c r="AI177" s="342"/>
      <c r="AJ177" s="342"/>
      <c r="AK177" s="547"/>
      <c r="AL177" s="183"/>
    </row>
    <row r="178" spans="2:38" x14ac:dyDescent="0.25">
      <c r="B178" s="9" t="s">
        <v>51</v>
      </c>
      <c r="C178" s="10" t="s">
        <v>52</v>
      </c>
      <c r="D178" s="11" t="s">
        <v>10</v>
      </c>
      <c r="E178" s="49">
        <f>'Kalkulace a Porovnání'!E178</f>
        <v>0</v>
      </c>
      <c r="F178" s="49">
        <f>'Kalkulace a Porovnání'!F178</f>
        <v>0</v>
      </c>
      <c r="G178" s="49">
        <f>'Kalkulace a Porovnání'!G178</f>
        <v>0</v>
      </c>
      <c r="H178" s="32">
        <f ca="1">'Kalkulace a Porovnání'!H178</f>
        <v>0</v>
      </c>
      <c r="K178" s="9" t="s">
        <v>51</v>
      </c>
      <c r="L178" s="10" t="s">
        <v>52</v>
      </c>
      <c r="M178" s="11" t="s">
        <v>10</v>
      </c>
      <c r="N178" s="49">
        <f>'Kalkulace a Porovnání'!N178</f>
        <v>0</v>
      </c>
      <c r="O178" s="49">
        <f>'Kalkulace a Porovnání'!O178</f>
        <v>0</v>
      </c>
      <c r="P178" s="49">
        <f>'Kalkulace a Porovnání'!P178</f>
        <v>0</v>
      </c>
      <c r="Q178" s="32">
        <f>'Kalkulace a Porovnání'!Q178</f>
        <v>0</v>
      </c>
      <c r="T178" s="9" t="s">
        <v>51</v>
      </c>
      <c r="U178" s="10" t="s">
        <v>52</v>
      </c>
      <c r="V178" s="11" t="s">
        <v>10</v>
      </c>
      <c r="W178" s="49">
        <f>'Kalkulace a Porovnání'!W178</f>
        <v>0</v>
      </c>
      <c r="X178" s="49">
        <f>'Kalkulace a Porovnání'!X178</f>
        <v>0</v>
      </c>
      <c r="Y178" s="49">
        <f>'Kalkulace a Porovnání'!Y178</f>
        <v>0</v>
      </c>
      <c r="Z178" s="49">
        <f>'Kalkulace a Porovnání'!Z178</f>
        <v>0</v>
      </c>
      <c r="AA178" s="49">
        <f ca="1">'Kalkulace a Porovnání'!AA178</f>
        <v>0</v>
      </c>
      <c r="AB178" s="32">
        <f ca="1">'Kalkulace a Porovnání'!AB178</f>
        <v>0</v>
      </c>
      <c r="AC178" s="183"/>
      <c r="AD178" s="547"/>
      <c r="AG178" s="184"/>
      <c r="AH178" s="184"/>
      <c r="AI178" s="342"/>
      <c r="AJ178" s="342"/>
      <c r="AK178" s="547"/>
      <c r="AL178" s="183"/>
    </row>
    <row r="179" spans="2:38" x14ac:dyDescent="0.25">
      <c r="B179" s="9" t="s">
        <v>53</v>
      </c>
      <c r="C179" s="10" t="s">
        <v>54</v>
      </c>
      <c r="D179" s="11" t="s">
        <v>10</v>
      </c>
      <c r="E179" s="49">
        <f>'Kalkulace a Porovnání'!E179</f>
        <v>0</v>
      </c>
      <c r="F179" s="49">
        <f>'Kalkulace a Porovnání'!F179</f>
        <v>0</v>
      </c>
      <c r="G179" s="49">
        <f>'Kalkulace a Porovnání'!G179</f>
        <v>0</v>
      </c>
      <c r="H179" s="32">
        <f>'Kalkulace a Porovnání'!H179</f>
        <v>0</v>
      </c>
      <c r="K179" s="9" t="s">
        <v>53</v>
      </c>
      <c r="L179" s="10" t="s">
        <v>54</v>
      </c>
      <c r="M179" s="11" t="s">
        <v>10</v>
      </c>
      <c r="N179" s="49">
        <f>'Kalkulace a Porovnání'!N179</f>
        <v>0</v>
      </c>
      <c r="O179" s="49">
        <f>'Kalkulace a Porovnání'!O179</f>
        <v>0</v>
      </c>
      <c r="P179" s="49">
        <f>'Kalkulace a Porovnání'!P179</f>
        <v>0</v>
      </c>
      <c r="Q179" s="32">
        <f>'Kalkulace a Porovnání'!Q179</f>
        <v>0</v>
      </c>
      <c r="T179" s="9" t="s">
        <v>53</v>
      </c>
      <c r="U179" s="10" t="s">
        <v>54</v>
      </c>
      <c r="V179" s="11" t="s">
        <v>10</v>
      </c>
      <c r="W179" s="49">
        <f>'Kalkulace a Porovnání'!W179</f>
        <v>0</v>
      </c>
      <c r="X179" s="49">
        <f>'Kalkulace a Porovnání'!X179</f>
        <v>0</v>
      </c>
      <c r="Y179" s="49">
        <f>'Kalkulace a Porovnání'!Y179</f>
        <v>0</v>
      </c>
      <c r="Z179" s="49">
        <f>'Kalkulace a Porovnání'!Z179</f>
        <v>0</v>
      </c>
      <c r="AA179" s="49">
        <f>'Kalkulace a Porovnání'!AA179</f>
        <v>0</v>
      </c>
      <c r="AB179" s="32">
        <f>'Kalkulace a Porovnání'!AB179</f>
        <v>0</v>
      </c>
      <c r="AC179" s="183"/>
      <c r="AD179" s="547"/>
      <c r="AG179" s="184"/>
      <c r="AH179" s="184"/>
      <c r="AI179" s="342"/>
      <c r="AJ179" s="342"/>
      <c r="AK179" s="547"/>
      <c r="AL179" s="183"/>
    </row>
    <row r="180" spans="2:38" x14ac:dyDescent="0.25">
      <c r="B180" s="9" t="s">
        <v>55</v>
      </c>
      <c r="C180" s="10" t="s">
        <v>56</v>
      </c>
      <c r="D180" s="11" t="s">
        <v>10</v>
      </c>
      <c r="E180" s="49">
        <f>'Kalkulace a Porovnání'!E180</f>
        <v>0</v>
      </c>
      <c r="F180" s="49">
        <f>'Kalkulace a Porovnání'!F180</f>
        <v>0</v>
      </c>
      <c r="G180" s="49">
        <f>'Kalkulace a Porovnání'!G180</f>
        <v>0</v>
      </c>
      <c r="H180" s="32">
        <f>'Kalkulace a Porovnání'!H180</f>
        <v>0</v>
      </c>
      <c r="K180" s="9" t="s">
        <v>55</v>
      </c>
      <c r="L180" s="10" t="s">
        <v>56</v>
      </c>
      <c r="M180" s="11" t="s">
        <v>10</v>
      </c>
      <c r="N180" s="49">
        <f>'Kalkulace a Porovnání'!N180</f>
        <v>0</v>
      </c>
      <c r="O180" s="49">
        <f>'Kalkulace a Porovnání'!O180</f>
        <v>0</v>
      </c>
      <c r="P180" s="49">
        <f>'Kalkulace a Porovnání'!P180</f>
        <v>0</v>
      </c>
      <c r="Q180" s="32">
        <f>'Kalkulace a Porovnání'!Q180</f>
        <v>0</v>
      </c>
      <c r="T180" s="9" t="s">
        <v>55</v>
      </c>
      <c r="U180" s="10" t="s">
        <v>56</v>
      </c>
      <c r="V180" s="11" t="s">
        <v>10</v>
      </c>
      <c r="W180" s="49">
        <f>'Kalkulace a Porovnání'!W180</f>
        <v>0</v>
      </c>
      <c r="X180" s="49">
        <f>'Kalkulace a Porovnání'!X180</f>
        <v>0</v>
      </c>
      <c r="Y180" s="49">
        <f>'Kalkulace a Porovnání'!Y180</f>
        <v>0</v>
      </c>
      <c r="Z180" s="49">
        <f>'Kalkulace a Porovnání'!Z180</f>
        <v>0</v>
      </c>
      <c r="AA180" s="49">
        <f>'Kalkulace a Porovnání'!AA180</f>
        <v>0</v>
      </c>
      <c r="AB180" s="32">
        <f>'Kalkulace a Porovnání'!AB180</f>
        <v>0</v>
      </c>
      <c r="AC180" s="183"/>
      <c r="AD180" s="547"/>
      <c r="AG180" s="184"/>
      <c r="AH180" s="184"/>
      <c r="AI180" s="342"/>
      <c r="AJ180" s="342"/>
      <c r="AK180" s="547"/>
      <c r="AL180" s="183"/>
    </row>
    <row r="181" spans="2:38" x14ac:dyDescent="0.25">
      <c r="B181" s="9" t="s">
        <v>57</v>
      </c>
      <c r="C181" s="10" t="s">
        <v>58</v>
      </c>
      <c r="D181" s="11" t="s">
        <v>10</v>
      </c>
      <c r="E181" s="46">
        <f>'Kalkulace a Porovnání'!E181</f>
        <v>0</v>
      </c>
      <c r="F181" s="46">
        <f>'Kalkulace a Porovnání'!F181</f>
        <v>0</v>
      </c>
      <c r="G181" s="46">
        <f>'Kalkulace a Porovnání'!G181</f>
        <v>0</v>
      </c>
      <c r="H181" s="98">
        <f ca="1">'Kalkulace a Porovnání'!H181</f>
        <v>0.43</v>
      </c>
      <c r="K181" s="9" t="s">
        <v>57</v>
      </c>
      <c r="L181" s="10" t="s">
        <v>58</v>
      </c>
      <c r="M181" s="11" t="s">
        <v>10</v>
      </c>
      <c r="N181" s="46">
        <f>'Kalkulace a Porovnání'!N181</f>
        <v>0</v>
      </c>
      <c r="O181" s="46">
        <f>'Kalkulace a Porovnání'!O181</f>
        <v>0</v>
      </c>
      <c r="P181" s="46">
        <f>'Kalkulace a Porovnání'!P181</f>
        <v>0</v>
      </c>
      <c r="Q181" s="98">
        <f>'Kalkulace a Porovnání'!Q181</f>
        <v>0</v>
      </c>
      <c r="T181" s="9" t="s">
        <v>57</v>
      </c>
      <c r="U181" s="10" t="s">
        <v>58</v>
      </c>
      <c r="V181" s="11" t="s">
        <v>10</v>
      </c>
      <c r="W181" s="46">
        <f>'Kalkulace a Porovnání'!W181</f>
        <v>0</v>
      </c>
      <c r="X181" s="46">
        <f>'Kalkulace a Porovnání'!X181</f>
        <v>0</v>
      </c>
      <c r="Y181" s="46">
        <f>'Kalkulace a Porovnání'!Y181</f>
        <v>0</v>
      </c>
      <c r="Z181" s="46">
        <f>'Kalkulace a Porovnání'!Z181</f>
        <v>0</v>
      </c>
      <c r="AA181" s="46">
        <f ca="1">'Kalkulace a Porovnání'!AA181</f>
        <v>0.43</v>
      </c>
      <c r="AB181" s="98">
        <f ca="1">'Kalkulace a Porovnání'!AB181</f>
        <v>-0.43</v>
      </c>
      <c r="AC181" s="183"/>
      <c r="AD181" s="547"/>
      <c r="AG181" s="184"/>
      <c r="AH181" s="184"/>
      <c r="AI181" s="342"/>
      <c r="AJ181" s="342"/>
      <c r="AK181" s="547"/>
      <c r="AL181" s="183"/>
    </row>
    <row r="182" spans="2:38" x14ac:dyDescent="0.25">
      <c r="B182" s="12" t="s">
        <v>59</v>
      </c>
      <c r="C182" s="13" t="s">
        <v>112</v>
      </c>
      <c r="D182" s="3" t="s">
        <v>10</v>
      </c>
      <c r="E182" s="437">
        <f>'Kalkulace a Porovnání'!E182</f>
        <v>0</v>
      </c>
      <c r="F182" s="437">
        <f>'Kalkulace a Porovnání'!F182</f>
        <v>0</v>
      </c>
      <c r="G182" s="437">
        <f>'Kalkulace a Porovnání'!G182</f>
        <v>0</v>
      </c>
      <c r="H182" s="438">
        <f>'Kalkulace a Porovnání'!H182</f>
        <v>0</v>
      </c>
      <c r="K182" s="12" t="s">
        <v>59</v>
      </c>
      <c r="L182" s="13" t="s">
        <v>112</v>
      </c>
      <c r="M182" s="3" t="s">
        <v>10</v>
      </c>
      <c r="N182" s="437">
        <f>'Kalkulace a Porovnání'!N182</f>
        <v>0</v>
      </c>
      <c r="O182" s="437">
        <f>'Kalkulace a Porovnání'!O182</f>
        <v>0</v>
      </c>
      <c r="P182" s="437">
        <f>'Kalkulace a Porovnání'!P182</f>
        <v>0</v>
      </c>
      <c r="Q182" s="438">
        <f>'Kalkulace a Porovnání'!Q182</f>
        <v>0</v>
      </c>
      <c r="T182" s="12" t="s">
        <v>59</v>
      </c>
      <c r="U182" s="13" t="s">
        <v>112</v>
      </c>
      <c r="V182" s="3" t="s">
        <v>10</v>
      </c>
      <c r="W182" s="437">
        <f>'Kalkulace a Porovnání'!W182</f>
        <v>0</v>
      </c>
      <c r="X182" s="437">
        <f>'Kalkulace a Porovnání'!X182</f>
        <v>0</v>
      </c>
      <c r="Y182" s="437">
        <f>'Kalkulace a Porovnání'!Y182</f>
        <v>0</v>
      </c>
      <c r="Z182" s="437">
        <f>'Kalkulace a Porovnání'!Z182</f>
        <v>0</v>
      </c>
      <c r="AA182" s="437">
        <f>'Kalkulace a Porovnání'!AA182</f>
        <v>0</v>
      </c>
      <c r="AB182" s="438">
        <f>'Kalkulace a Porovnání'!AB182</f>
        <v>0</v>
      </c>
      <c r="AC182" s="183"/>
      <c r="AD182" s="547"/>
      <c r="AG182" s="973"/>
      <c r="AH182" s="973"/>
      <c r="AI182" s="342"/>
      <c r="AJ182" s="342"/>
      <c r="AK182" s="547"/>
      <c r="AL182" s="183"/>
    </row>
    <row r="183" spans="2:38" x14ac:dyDescent="0.25">
      <c r="B183" s="12" t="s">
        <v>60</v>
      </c>
      <c r="C183" s="13" t="s">
        <v>113</v>
      </c>
      <c r="D183" s="3" t="s">
        <v>10</v>
      </c>
      <c r="E183" s="437">
        <f>'Kalkulace a Porovnání'!E183</f>
        <v>0</v>
      </c>
      <c r="F183" s="437">
        <f>'Kalkulace a Porovnání'!F183</f>
        <v>0</v>
      </c>
      <c r="G183" s="437">
        <f>'Kalkulace a Porovnání'!G183</f>
        <v>0</v>
      </c>
      <c r="H183" s="438">
        <f>'Kalkulace a Porovnání'!H183</f>
        <v>0</v>
      </c>
      <c r="K183" s="12" t="s">
        <v>60</v>
      </c>
      <c r="L183" s="13" t="s">
        <v>113</v>
      </c>
      <c r="M183" s="3" t="s">
        <v>10</v>
      </c>
      <c r="N183" s="437">
        <f>'Kalkulace a Porovnání'!N183</f>
        <v>0</v>
      </c>
      <c r="O183" s="437">
        <f>'Kalkulace a Porovnání'!O183</f>
        <v>0</v>
      </c>
      <c r="P183" s="437">
        <f>'Kalkulace a Porovnání'!P183</f>
        <v>0</v>
      </c>
      <c r="Q183" s="438">
        <f>'Kalkulace a Porovnání'!Q183</f>
        <v>0</v>
      </c>
      <c r="T183" s="12" t="s">
        <v>60</v>
      </c>
      <c r="U183" s="13" t="s">
        <v>113</v>
      </c>
      <c r="V183" s="3" t="s">
        <v>10</v>
      </c>
      <c r="W183" s="437">
        <f>'Kalkulace a Porovnání'!W183</f>
        <v>0</v>
      </c>
      <c r="X183" s="437">
        <f>'Kalkulace a Porovnání'!X183</f>
        <v>0</v>
      </c>
      <c r="Y183" s="437">
        <f>'Kalkulace a Porovnání'!Y183</f>
        <v>0</v>
      </c>
      <c r="Z183" s="437">
        <f>'Kalkulace a Porovnání'!Z183</f>
        <v>0</v>
      </c>
      <c r="AA183" s="437">
        <f>'Kalkulace a Porovnání'!AA183</f>
        <v>0</v>
      </c>
      <c r="AB183" s="438">
        <f>'Kalkulace a Porovnání'!AB183</f>
        <v>0</v>
      </c>
      <c r="AC183" s="183"/>
      <c r="AD183" s="547"/>
      <c r="AG183" s="973"/>
      <c r="AH183" s="973"/>
      <c r="AI183" s="342"/>
      <c r="AJ183" s="342"/>
      <c r="AK183" s="547"/>
      <c r="AL183" s="183"/>
    </row>
    <row r="184" spans="2:38" x14ac:dyDescent="0.25">
      <c r="B184" s="12" t="s">
        <v>61</v>
      </c>
      <c r="C184" s="13" t="s">
        <v>62</v>
      </c>
      <c r="D184" s="3" t="s">
        <v>63</v>
      </c>
      <c r="E184" s="439">
        <f>'Kalkulace a Porovnání'!E184</f>
        <v>0</v>
      </c>
      <c r="F184" s="439">
        <f>'Kalkulace a Porovnání'!F184</f>
        <v>0</v>
      </c>
      <c r="G184" s="439">
        <f>'Kalkulace a Porovnání'!G184</f>
        <v>0</v>
      </c>
      <c r="H184" s="440">
        <f>'Kalkulace a Porovnání'!H184</f>
        <v>0</v>
      </c>
      <c r="K184" s="12" t="s">
        <v>61</v>
      </c>
      <c r="L184" s="13" t="s">
        <v>62</v>
      </c>
      <c r="M184" s="3" t="s">
        <v>63</v>
      </c>
      <c r="N184" s="439">
        <f>'Kalkulace a Porovnání'!N184</f>
        <v>0</v>
      </c>
      <c r="O184" s="439">
        <f>'Kalkulace a Porovnání'!O184</f>
        <v>0</v>
      </c>
      <c r="P184" s="439">
        <f>'Kalkulace a Porovnání'!P184</f>
        <v>0</v>
      </c>
      <c r="Q184" s="440">
        <f>'Kalkulace a Porovnání'!Q184</f>
        <v>0</v>
      </c>
      <c r="T184" s="12" t="s">
        <v>61</v>
      </c>
      <c r="U184" s="13" t="s">
        <v>62</v>
      </c>
      <c r="V184" s="3" t="s">
        <v>63</v>
      </c>
      <c r="W184" s="439">
        <f>'Kalkulace a Porovnání'!W184</f>
        <v>0</v>
      </c>
      <c r="X184" s="439">
        <f>'Kalkulace a Porovnání'!X184</f>
        <v>0</v>
      </c>
      <c r="Y184" s="439">
        <f>'Kalkulace a Porovnání'!Y184</f>
        <v>0</v>
      </c>
      <c r="Z184" s="439">
        <f>'Kalkulace a Porovnání'!Z184</f>
        <v>0</v>
      </c>
      <c r="AA184" s="439">
        <f>'Kalkulace a Porovnání'!AA184</f>
        <v>0</v>
      </c>
      <c r="AB184" s="440">
        <f>'Kalkulace a Porovnání'!AB184</f>
        <v>0</v>
      </c>
      <c r="AC184" s="183"/>
      <c r="AD184" s="547"/>
      <c r="AG184" s="972"/>
      <c r="AH184" s="972"/>
      <c r="AI184" s="342"/>
      <c r="AJ184" s="342"/>
      <c r="AK184" s="547"/>
      <c r="AL184" s="183"/>
    </row>
    <row r="185" spans="2:38" x14ac:dyDescent="0.25">
      <c r="B185" s="12" t="s">
        <v>64</v>
      </c>
      <c r="C185" s="13" t="s">
        <v>65</v>
      </c>
      <c r="D185" s="3" t="s">
        <v>66</v>
      </c>
      <c r="E185" s="49">
        <f>'Kalkulace a Porovnání'!E185</f>
        <v>0</v>
      </c>
      <c r="F185" s="49">
        <f>'Kalkulace a Porovnání'!F185</f>
        <v>0</v>
      </c>
      <c r="G185" s="49">
        <f>'Kalkulace a Porovnání'!G185</f>
        <v>0</v>
      </c>
      <c r="H185" s="32">
        <f>'Kalkulace a Porovnání'!H185</f>
        <v>0</v>
      </c>
      <c r="K185" s="12" t="s">
        <v>64</v>
      </c>
      <c r="L185" s="13" t="s">
        <v>65</v>
      </c>
      <c r="M185" s="3" t="s">
        <v>66</v>
      </c>
      <c r="N185" s="49">
        <f>'Kalkulace a Porovnání'!N185</f>
        <v>0</v>
      </c>
      <c r="O185" s="49">
        <f>'Kalkulace a Porovnání'!O185</f>
        <v>0</v>
      </c>
      <c r="P185" s="49">
        <f>'Kalkulace a Porovnání'!P185</f>
        <v>0</v>
      </c>
      <c r="Q185" s="32">
        <f>'Kalkulace a Porovnání'!Q185</f>
        <v>0</v>
      </c>
      <c r="T185" s="12" t="s">
        <v>64</v>
      </c>
      <c r="U185" s="13" t="s">
        <v>65</v>
      </c>
      <c r="V185" s="3" t="s">
        <v>66</v>
      </c>
      <c r="W185" s="49">
        <f>'Kalkulace a Porovnání'!W185</f>
        <v>0</v>
      </c>
      <c r="X185" s="49">
        <f>'Kalkulace a Porovnání'!X185</f>
        <v>0</v>
      </c>
      <c r="Y185" s="49">
        <f>'Kalkulace a Porovnání'!Y185</f>
        <v>0</v>
      </c>
      <c r="Z185" s="49">
        <f>'Kalkulace a Porovnání'!Z185</f>
        <v>0</v>
      </c>
      <c r="AA185" s="49">
        <f>'Kalkulace a Porovnání'!AA185</f>
        <v>0</v>
      </c>
      <c r="AB185" s="32">
        <f>'Kalkulace a Porovnání'!AB185</f>
        <v>0</v>
      </c>
      <c r="AC185" s="183"/>
      <c r="AD185" s="547"/>
      <c r="AG185" s="972"/>
      <c r="AH185" s="972"/>
      <c r="AI185" s="342"/>
      <c r="AJ185" s="342"/>
      <c r="AK185" s="547"/>
      <c r="AL185" s="183"/>
    </row>
    <row r="186" spans="2:38" x14ac:dyDescent="0.25">
      <c r="B186" s="12" t="s">
        <v>67</v>
      </c>
      <c r="C186" s="13" t="s">
        <v>68</v>
      </c>
      <c r="D186" s="3" t="s">
        <v>66</v>
      </c>
      <c r="E186" s="49">
        <f>'Kalkulace a Porovnání'!E186</f>
        <v>0</v>
      </c>
      <c r="F186" s="49">
        <f>'Kalkulace a Porovnání'!F186</f>
        <v>0</v>
      </c>
      <c r="G186" s="49">
        <f>'Kalkulace a Porovnání'!G186</f>
        <v>0</v>
      </c>
      <c r="H186" s="32">
        <f>'Kalkulace a Porovnání'!H186</f>
        <v>0</v>
      </c>
      <c r="K186" s="12" t="s">
        <v>67</v>
      </c>
      <c r="L186" s="13" t="s">
        <v>68</v>
      </c>
      <c r="M186" s="3" t="s">
        <v>66</v>
      </c>
      <c r="N186" s="49">
        <f>'Kalkulace a Porovnání'!N186</f>
        <v>0</v>
      </c>
      <c r="O186" s="49">
        <f>'Kalkulace a Porovnání'!O186</f>
        <v>0</v>
      </c>
      <c r="P186" s="49">
        <f>'Kalkulace a Porovnání'!P186</f>
        <v>0</v>
      </c>
      <c r="Q186" s="32">
        <f>'Kalkulace a Porovnání'!Q186</f>
        <v>0</v>
      </c>
      <c r="T186" s="12" t="s">
        <v>67</v>
      </c>
      <c r="U186" s="13" t="s">
        <v>68</v>
      </c>
      <c r="V186" s="3" t="s">
        <v>66</v>
      </c>
      <c r="W186" s="49">
        <f>'Kalkulace a Porovnání'!W186</f>
        <v>0</v>
      </c>
      <c r="X186" s="49">
        <f>'Kalkulace a Porovnání'!X186</f>
        <v>0</v>
      </c>
      <c r="Y186" s="49">
        <f>'Kalkulace a Porovnání'!Y186</f>
        <v>0</v>
      </c>
      <c r="Z186" s="49">
        <f>'Kalkulace a Porovnání'!Z186</f>
        <v>0</v>
      </c>
      <c r="AA186" s="49">
        <f>'Kalkulace a Porovnání'!AA186</f>
        <v>0</v>
      </c>
      <c r="AB186" s="32">
        <f>'Kalkulace a Porovnání'!AB186</f>
        <v>0</v>
      </c>
      <c r="AC186" s="183"/>
      <c r="AD186" s="547"/>
      <c r="AG186" s="184"/>
      <c r="AH186" s="184"/>
      <c r="AI186" s="342"/>
      <c r="AJ186" s="342"/>
      <c r="AK186" s="547"/>
      <c r="AL186" s="183"/>
    </row>
    <row r="187" spans="2:38" x14ac:dyDescent="0.25">
      <c r="B187" s="12" t="s">
        <v>69</v>
      </c>
      <c r="C187" s="13" t="s">
        <v>70</v>
      </c>
      <c r="D187" s="3" t="s">
        <v>66</v>
      </c>
      <c r="E187" s="49">
        <f>'Kalkulace a Porovnání'!E187</f>
        <v>0</v>
      </c>
      <c r="F187" s="49">
        <f>'Kalkulace a Porovnání'!F187</f>
        <v>0</v>
      </c>
      <c r="G187" s="49">
        <f>'Kalkulace a Porovnání'!G187</f>
        <v>0</v>
      </c>
      <c r="H187" s="32">
        <f>'Kalkulace a Porovnání'!H187</f>
        <v>1.4E-2</v>
      </c>
      <c r="K187" s="12" t="s">
        <v>69</v>
      </c>
      <c r="L187" s="13" t="s">
        <v>70</v>
      </c>
      <c r="M187" s="3" t="s">
        <v>66</v>
      </c>
      <c r="N187" s="49">
        <f>'Kalkulace a Porovnání'!N187</f>
        <v>0</v>
      </c>
      <c r="O187" s="49">
        <f>'Kalkulace a Porovnání'!O187</f>
        <v>0</v>
      </c>
      <c r="P187" s="49">
        <f>'Kalkulace a Porovnání'!P187</f>
        <v>0</v>
      </c>
      <c r="Q187" s="32">
        <f>'Kalkulace a Porovnání'!Q187</f>
        <v>0</v>
      </c>
      <c r="T187" s="12" t="s">
        <v>69</v>
      </c>
      <c r="U187" s="13" t="s">
        <v>70</v>
      </c>
      <c r="V187" s="3" t="s">
        <v>66</v>
      </c>
      <c r="W187" s="49">
        <f>'Kalkulace a Porovnání'!W187</f>
        <v>0</v>
      </c>
      <c r="X187" s="49">
        <f>'Kalkulace a Porovnání'!X187</f>
        <v>0</v>
      </c>
      <c r="Y187" s="49">
        <f>'Kalkulace a Porovnání'!Y187</f>
        <v>0</v>
      </c>
      <c r="Z187" s="49">
        <f>'Kalkulace a Porovnání'!Z187</f>
        <v>0</v>
      </c>
      <c r="AA187" s="49">
        <f>'Kalkulace a Porovnání'!AA187</f>
        <v>1.4E-2</v>
      </c>
      <c r="AB187" s="32">
        <f>'Kalkulace a Porovnání'!AB187</f>
        <v>-1.4E-2</v>
      </c>
      <c r="AC187" s="183"/>
      <c r="AD187" s="547"/>
      <c r="AG187" s="549"/>
      <c r="AH187" s="549"/>
      <c r="AI187" s="342"/>
      <c r="AJ187" s="342"/>
      <c r="AK187" s="547"/>
      <c r="AL187" s="183"/>
    </row>
    <row r="188" spans="2:38" x14ac:dyDescent="0.25">
      <c r="B188" s="12" t="s">
        <v>71</v>
      </c>
      <c r="C188" s="13" t="s">
        <v>68</v>
      </c>
      <c r="D188" s="3" t="s">
        <v>66</v>
      </c>
      <c r="E188" s="49">
        <f>'Kalkulace a Porovnání'!E188</f>
        <v>0</v>
      </c>
      <c r="F188" s="49">
        <f>'Kalkulace a Porovnání'!F188</f>
        <v>0</v>
      </c>
      <c r="G188" s="49">
        <f>'Kalkulace a Porovnání'!G188</f>
        <v>0</v>
      </c>
      <c r="H188" s="32">
        <f>'Kalkulace a Porovnání'!H188</f>
        <v>7.4190000000000002E-3</v>
      </c>
      <c r="K188" s="12" t="s">
        <v>71</v>
      </c>
      <c r="L188" s="13" t="s">
        <v>68</v>
      </c>
      <c r="M188" s="3" t="s">
        <v>66</v>
      </c>
      <c r="N188" s="49">
        <f>'Kalkulace a Porovnání'!N188</f>
        <v>0</v>
      </c>
      <c r="O188" s="49">
        <f>'Kalkulace a Porovnání'!O188</f>
        <v>0</v>
      </c>
      <c r="P188" s="49">
        <f>'Kalkulace a Porovnání'!P188</f>
        <v>0</v>
      </c>
      <c r="Q188" s="32">
        <f>'Kalkulace a Porovnání'!Q188</f>
        <v>0</v>
      </c>
      <c r="T188" s="12" t="s">
        <v>71</v>
      </c>
      <c r="U188" s="13" t="s">
        <v>68</v>
      </c>
      <c r="V188" s="3" t="s">
        <v>66</v>
      </c>
      <c r="W188" s="49">
        <f>'Kalkulace a Porovnání'!W188</f>
        <v>0</v>
      </c>
      <c r="X188" s="49">
        <f>'Kalkulace a Porovnání'!X188</f>
        <v>0</v>
      </c>
      <c r="Y188" s="49">
        <f>'Kalkulace a Porovnání'!Y188</f>
        <v>0</v>
      </c>
      <c r="Z188" s="49">
        <f>'Kalkulace a Porovnání'!Z188</f>
        <v>0</v>
      </c>
      <c r="AA188" s="49">
        <f>'Kalkulace a Porovnání'!AA188</f>
        <v>7.4190000000000002E-3</v>
      </c>
      <c r="AB188" s="32">
        <f>'Kalkulace a Porovnání'!AB188</f>
        <v>-7.4190000000000002E-3</v>
      </c>
      <c r="AC188" s="183"/>
      <c r="AD188" s="547"/>
      <c r="AG188" s="546"/>
      <c r="AH188" s="546"/>
      <c r="AI188" s="342"/>
      <c r="AJ188" s="342"/>
      <c r="AK188" s="547"/>
      <c r="AL188" s="183"/>
    </row>
    <row r="189" spans="2:38" x14ac:dyDescent="0.25">
      <c r="B189" s="12" t="s">
        <v>72</v>
      </c>
      <c r="C189" s="13" t="s">
        <v>73</v>
      </c>
      <c r="D189" s="3" t="s">
        <v>66</v>
      </c>
      <c r="E189" s="49">
        <f>'Kalkulace a Porovnání'!E189</f>
        <v>0</v>
      </c>
      <c r="F189" s="49">
        <f>'Kalkulace a Porovnání'!F189</f>
        <v>0</v>
      </c>
      <c r="G189" s="49">
        <f>'Kalkulace a Porovnání'!G189</f>
        <v>0</v>
      </c>
      <c r="H189" s="32">
        <f>'Kalkulace a Porovnání'!H189</f>
        <v>0</v>
      </c>
      <c r="K189" s="12" t="s">
        <v>72</v>
      </c>
      <c r="L189" s="13" t="s">
        <v>73</v>
      </c>
      <c r="M189" s="3" t="s">
        <v>66</v>
      </c>
      <c r="N189" s="49">
        <f>'Kalkulace a Porovnání'!N189</f>
        <v>0</v>
      </c>
      <c r="O189" s="49">
        <f>'Kalkulace a Porovnání'!O189</f>
        <v>0</v>
      </c>
      <c r="P189" s="49">
        <f>'Kalkulace a Porovnání'!P189</f>
        <v>0</v>
      </c>
      <c r="Q189" s="32">
        <f>'Kalkulace a Porovnání'!Q189</f>
        <v>0</v>
      </c>
      <c r="T189" s="12" t="s">
        <v>72</v>
      </c>
      <c r="U189" s="13" t="s">
        <v>73</v>
      </c>
      <c r="V189" s="3" t="s">
        <v>66</v>
      </c>
      <c r="W189" s="49">
        <f>'Kalkulace a Porovnání'!W189</f>
        <v>0</v>
      </c>
      <c r="X189" s="49">
        <f>'Kalkulace a Porovnání'!X189</f>
        <v>0</v>
      </c>
      <c r="Y189" s="49">
        <f>'Kalkulace a Porovnání'!Y189</f>
        <v>0</v>
      </c>
      <c r="Z189" s="49">
        <f>'Kalkulace a Porovnání'!Z189</f>
        <v>0</v>
      </c>
      <c r="AA189" s="49">
        <f>'Kalkulace a Porovnání'!AA189</f>
        <v>0</v>
      </c>
      <c r="AB189" s="32">
        <f>'Kalkulace a Porovnání'!AB189</f>
        <v>0</v>
      </c>
      <c r="AC189" s="183"/>
      <c r="AD189" s="547"/>
      <c r="AG189" s="184"/>
      <c r="AH189" s="184"/>
      <c r="AI189" s="549"/>
      <c r="AJ189" s="549"/>
      <c r="AK189" s="547"/>
      <c r="AL189" s="183"/>
    </row>
    <row r="190" spans="2:38" x14ac:dyDescent="0.25">
      <c r="B190" s="12" t="s">
        <v>74</v>
      </c>
      <c r="C190" s="13" t="s">
        <v>75</v>
      </c>
      <c r="D190" s="3" t="s">
        <v>66</v>
      </c>
      <c r="E190" s="49">
        <f>'Kalkulace a Porovnání'!E190</f>
        <v>0</v>
      </c>
      <c r="F190" s="49">
        <f>'Kalkulace a Porovnání'!F190</f>
        <v>0</v>
      </c>
      <c r="G190" s="49">
        <f>'Kalkulace a Porovnání'!G190</f>
        <v>0</v>
      </c>
      <c r="H190" s="32">
        <f>'Kalkulace a Porovnání'!H190</f>
        <v>0</v>
      </c>
      <c r="K190" s="12" t="s">
        <v>74</v>
      </c>
      <c r="L190" s="13" t="s">
        <v>75</v>
      </c>
      <c r="M190" s="3" t="s">
        <v>66</v>
      </c>
      <c r="N190" s="49">
        <f>'Kalkulace a Porovnání'!N190</f>
        <v>0</v>
      </c>
      <c r="O190" s="49">
        <f>'Kalkulace a Porovnání'!O190</f>
        <v>0</v>
      </c>
      <c r="P190" s="49">
        <f>'Kalkulace a Porovnání'!P190</f>
        <v>0</v>
      </c>
      <c r="Q190" s="32">
        <f>'Kalkulace a Porovnání'!Q190</f>
        <v>0</v>
      </c>
      <c r="T190" s="12" t="s">
        <v>74</v>
      </c>
      <c r="U190" s="13" t="s">
        <v>75</v>
      </c>
      <c r="V190" s="3" t="s">
        <v>66</v>
      </c>
      <c r="W190" s="49">
        <f>'Kalkulace a Porovnání'!W190</f>
        <v>0</v>
      </c>
      <c r="X190" s="49">
        <f>'Kalkulace a Porovnání'!X190</f>
        <v>0</v>
      </c>
      <c r="Y190" s="49">
        <f>'Kalkulace a Porovnání'!Y190</f>
        <v>0</v>
      </c>
      <c r="Z190" s="49">
        <f>'Kalkulace a Porovnání'!Z190</f>
        <v>0</v>
      </c>
      <c r="AA190" s="49">
        <f>'Kalkulace a Porovnání'!AA190</f>
        <v>0</v>
      </c>
      <c r="AB190" s="32">
        <f>'Kalkulace a Porovnání'!AB190</f>
        <v>0</v>
      </c>
      <c r="AC190" s="183"/>
      <c r="AD190" s="547"/>
      <c r="AG190" s="184"/>
      <c r="AH190" s="184"/>
      <c r="AI190" s="549"/>
      <c r="AJ190" s="549"/>
      <c r="AK190" s="547"/>
      <c r="AL190" s="183"/>
    </row>
    <row r="191" spans="2:38" x14ac:dyDescent="0.25">
      <c r="B191" s="12" t="s">
        <v>76</v>
      </c>
      <c r="C191" s="13" t="s">
        <v>77</v>
      </c>
      <c r="D191" s="3" t="s">
        <v>66</v>
      </c>
      <c r="E191" s="49">
        <f>'Kalkulace a Porovnání'!E191</f>
        <v>0</v>
      </c>
      <c r="F191" s="49">
        <f>'Kalkulace a Porovnání'!F191</f>
        <v>0</v>
      </c>
      <c r="G191" s="49">
        <f>'Kalkulace a Porovnání'!G191</f>
        <v>0</v>
      </c>
      <c r="H191" s="32">
        <f>'Kalkulace a Porovnání'!H191</f>
        <v>0</v>
      </c>
      <c r="K191" s="12" t="s">
        <v>76</v>
      </c>
      <c r="L191" s="13" t="s">
        <v>77</v>
      </c>
      <c r="M191" s="3" t="s">
        <v>66</v>
      </c>
      <c r="N191" s="49">
        <f>'Kalkulace a Porovnání'!N191</f>
        <v>0</v>
      </c>
      <c r="O191" s="49">
        <f>'Kalkulace a Porovnání'!O191</f>
        <v>0</v>
      </c>
      <c r="P191" s="49">
        <f>'Kalkulace a Porovnání'!P191</f>
        <v>0</v>
      </c>
      <c r="Q191" s="32">
        <f>'Kalkulace a Porovnání'!Q191</f>
        <v>0</v>
      </c>
      <c r="T191" s="12" t="s">
        <v>76</v>
      </c>
      <c r="U191" s="13" t="s">
        <v>77</v>
      </c>
      <c r="V191" s="3" t="s">
        <v>66</v>
      </c>
      <c r="W191" s="49">
        <f>'Kalkulace a Porovnání'!W191</f>
        <v>0</v>
      </c>
      <c r="X191" s="49">
        <f>'Kalkulace a Porovnání'!X191</f>
        <v>0</v>
      </c>
      <c r="Y191" s="49">
        <f>'Kalkulace a Porovnání'!Y191</f>
        <v>0</v>
      </c>
      <c r="Z191" s="49">
        <f>'Kalkulace a Porovnání'!Z191</f>
        <v>0</v>
      </c>
      <c r="AA191" s="49">
        <f>'Kalkulace a Porovnání'!AA191</f>
        <v>0</v>
      </c>
      <c r="AB191" s="32">
        <f>'Kalkulace a Porovnání'!AB191</f>
        <v>0</v>
      </c>
      <c r="AC191" s="183"/>
      <c r="AD191" s="547"/>
      <c r="AG191" s="184"/>
      <c r="AH191" s="184"/>
      <c r="AI191" s="549"/>
      <c r="AJ191" s="549"/>
      <c r="AK191" s="547"/>
      <c r="AL191" s="183"/>
    </row>
    <row r="192" spans="2:38" x14ac:dyDescent="0.25">
      <c r="B192" s="12" t="s">
        <v>78</v>
      </c>
      <c r="C192" s="13" t="s">
        <v>79</v>
      </c>
      <c r="D192" s="3" t="s">
        <v>66</v>
      </c>
      <c r="E192" s="49">
        <f>'Kalkulace a Porovnání'!E192</f>
        <v>0</v>
      </c>
      <c r="F192" s="49">
        <f>'Kalkulace a Porovnání'!F192</f>
        <v>0</v>
      </c>
      <c r="G192" s="49">
        <f>'Kalkulace a Porovnání'!G192</f>
        <v>0</v>
      </c>
      <c r="H192" s="32">
        <f>'Kalkulace a Porovnání'!H192</f>
        <v>1.4E-2</v>
      </c>
      <c r="K192" s="12" t="s">
        <v>78</v>
      </c>
      <c r="L192" s="13" t="s">
        <v>79</v>
      </c>
      <c r="M192" s="3" t="s">
        <v>66</v>
      </c>
      <c r="N192" s="49">
        <f>'Kalkulace a Porovnání'!N192</f>
        <v>0</v>
      </c>
      <c r="O192" s="49">
        <f>'Kalkulace a Porovnání'!O192</f>
        <v>0</v>
      </c>
      <c r="P192" s="49">
        <f>'Kalkulace a Porovnání'!P192</f>
        <v>0</v>
      </c>
      <c r="Q192" s="32">
        <f>'Kalkulace a Porovnání'!Q192</f>
        <v>0</v>
      </c>
      <c r="T192" s="12" t="s">
        <v>78</v>
      </c>
      <c r="U192" s="13" t="s">
        <v>79</v>
      </c>
      <c r="V192" s="3" t="s">
        <v>66</v>
      </c>
      <c r="W192" s="49">
        <f>'Kalkulace a Porovnání'!W192</f>
        <v>0</v>
      </c>
      <c r="X192" s="49">
        <f>'Kalkulace a Porovnání'!X192</f>
        <v>0</v>
      </c>
      <c r="Y192" s="49">
        <f>'Kalkulace a Porovnání'!Y192</f>
        <v>0</v>
      </c>
      <c r="Z192" s="49">
        <f>'Kalkulace a Porovnání'!Z192</f>
        <v>0</v>
      </c>
      <c r="AA192" s="49">
        <f>'Kalkulace a Porovnání'!AA192</f>
        <v>1.4E-2</v>
      </c>
      <c r="AB192" s="32">
        <f>'Kalkulace a Porovnání'!AB192</f>
        <v>-1.4E-2</v>
      </c>
      <c r="AC192" s="183"/>
      <c r="AD192" s="547"/>
      <c r="AG192" s="421"/>
      <c r="AH192" s="421"/>
      <c r="AI192" s="342"/>
      <c r="AJ192" s="342"/>
      <c r="AK192" s="547"/>
      <c r="AL192" s="183"/>
    </row>
    <row r="193" spans="2:38" x14ac:dyDescent="0.25">
      <c r="B193" s="1"/>
      <c r="C193" s="1"/>
      <c r="D193" s="1"/>
      <c r="E193" s="1"/>
      <c r="F193" s="1"/>
      <c r="G193" s="1"/>
      <c r="H193" s="1"/>
      <c r="K193" s="1"/>
      <c r="L193" s="1"/>
      <c r="M193" s="1"/>
      <c r="N193" s="1"/>
      <c r="O193" s="1"/>
      <c r="P193" s="1"/>
      <c r="Q193" s="1"/>
      <c r="T193" s="1"/>
      <c r="U193" s="1"/>
      <c r="V193" s="1"/>
      <c r="W193" s="1"/>
      <c r="X193" s="1"/>
      <c r="Y193" s="1"/>
      <c r="Z193" s="1"/>
      <c r="AA193" s="1"/>
      <c r="AB193" s="1"/>
      <c r="AC193" s="183"/>
      <c r="AD193" s="547"/>
      <c r="AG193" s="547"/>
      <c r="AH193" s="547"/>
      <c r="AI193" s="547"/>
      <c r="AJ193" s="547"/>
      <c r="AK193" s="547"/>
      <c r="AL193" s="183"/>
    </row>
    <row r="194" spans="2:38" x14ac:dyDescent="0.25">
      <c r="B194" s="932" t="s">
        <v>5</v>
      </c>
      <c r="C194" s="721" t="s">
        <v>80</v>
      </c>
      <c r="D194" s="722"/>
      <c r="E194" s="723"/>
      <c r="F194" s="724"/>
      <c r="G194" s="722"/>
      <c r="H194" s="725"/>
      <c r="K194" s="932" t="s">
        <v>5</v>
      </c>
      <c r="L194" s="721" t="s">
        <v>80</v>
      </c>
      <c r="M194" s="722"/>
      <c r="N194" s="723"/>
      <c r="O194" s="724"/>
      <c r="P194" s="722"/>
      <c r="Q194" s="725"/>
      <c r="T194" s="771" t="s">
        <v>5</v>
      </c>
      <c r="U194" s="721" t="s">
        <v>80</v>
      </c>
      <c r="V194" s="722"/>
      <c r="W194" s="723"/>
      <c r="X194" s="723"/>
      <c r="Y194" s="724"/>
      <c r="Z194" s="722"/>
      <c r="AA194" s="722"/>
      <c r="AB194" s="725"/>
      <c r="AC194" s="183"/>
      <c r="AD194" s="547"/>
      <c r="AG194" s="547"/>
      <c r="AH194" s="547"/>
      <c r="AI194" s="547"/>
      <c r="AJ194" s="547"/>
      <c r="AK194" s="547"/>
      <c r="AL194" s="183"/>
    </row>
    <row r="195" spans="2:38" x14ac:dyDescent="0.25">
      <c r="B195" s="930"/>
      <c r="C195" s="932" t="s">
        <v>81</v>
      </c>
      <c r="D195" s="929" t="s">
        <v>173</v>
      </c>
      <c r="E195" s="874" t="s">
        <v>118</v>
      </c>
      <c r="F195" s="937"/>
      <c r="G195" s="26" t="s">
        <v>3</v>
      </c>
      <c r="H195" s="23" t="s">
        <v>4</v>
      </c>
      <c r="K195" s="930"/>
      <c r="L195" s="5" t="s">
        <v>81</v>
      </c>
      <c r="M195" s="929" t="s">
        <v>173</v>
      </c>
      <c r="N195" s="874" t="s">
        <v>118</v>
      </c>
      <c r="O195" s="937"/>
      <c r="P195" s="26" t="s">
        <v>3</v>
      </c>
      <c r="Q195" s="23" t="s">
        <v>4</v>
      </c>
      <c r="T195" s="934"/>
      <c r="U195" s="932" t="s">
        <v>81</v>
      </c>
      <c r="V195" s="929" t="s">
        <v>173</v>
      </c>
      <c r="W195" s="874" t="s">
        <v>118</v>
      </c>
      <c r="X195" s="937"/>
      <c r="Y195" s="874" t="s">
        <v>3</v>
      </c>
      <c r="Z195" s="939"/>
      <c r="AA195" s="940" t="s">
        <v>4</v>
      </c>
      <c r="AB195" s="940"/>
      <c r="AC195" s="183"/>
      <c r="AD195" s="547"/>
      <c r="AG195" s="547"/>
      <c r="AH195" s="547"/>
      <c r="AI195" s="547"/>
      <c r="AJ195" s="547"/>
      <c r="AK195" s="547"/>
      <c r="AL195" s="183"/>
    </row>
    <row r="196" spans="2:38" x14ac:dyDescent="0.25">
      <c r="B196" s="931"/>
      <c r="C196" s="931"/>
      <c r="D196" s="936"/>
      <c r="E196" s="875"/>
      <c r="F196" s="938"/>
      <c r="G196" s="27" t="s">
        <v>7</v>
      </c>
      <c r="H196" s="24" t="s">
        <v>7</v>
      </c>
      <c r="K196" s="931"/>
      <c r="L196" s="8"/>
      <c r="M196" s="936"/>
      <c r="N196" s="875"/>
      <c r="O196" s="938"/>
      <c r="P196" s="27" t="s">
        <v>7</v>
      </c>
      <c r="Q196" s="24" t="s">
        <v>7</v>
      </c>
      <c r="T196" s="935"/>
      <c r="U196" s="931"/>
      <c r="V196" s="936"/>
      <c r="W196" s="875"/>
      <c r="X196" s="938"/>
      <c r="Y196" s="40" t="s">
        <v>196</v>
      </c>
      <c r="Z196" s="40" t="s">
        <v>7</v>
      </c>
      <c r="AA196" s="40" t="s">
        <v>196</v>
      </c>
      <c r="AB196" s="40" t="s">
        <v>7</v>
      </c>
      <c r="AC196" s="183"/>
      <c r="AD196" s="547"/>
      <c r="AG196" s="547"/>
      <c r="AH196" s="547"/>
      <c r="AI196" s="547"/>
      <c r="AJ196" s="547"/>
      <c r="AK196" s="547"/>
      <c r="AL196" s="183"/>
    </row>
    <row r="197" spans="2:38" x14ac:dyDescent="0.25">
      <c r="B197" s="11">
        <v>1</v>
      </c>
      <c r="C197" s="11">
        <v>2</v>
      </c>
      <c r="D197" s="11" t="s">
        <v>111</v>
      </c>
      <c r="E197" s="735" t="s">
        <v>115</v>
      </c>
      <c r="F197" s="736"/>
      <c r="G197" s="11" t="s">
        <v>116</v>
      </c>
      <c r="H197" s="22" t="s">
        <v>117</v>
      </c>
      <c r="K197" s="11">
        <v>1</v>
      </c>
      <c r="L197" s="11">
        <v>2</v>
      </c>
      <c r="M197" s="11" t="s">
        <v>111</v>
      </c>
      <c r="N197" s="735" t="s">
        <v>115</v>
      </c>
      <c r="O197" s="736"/>
      <c r="P197" s="11" t="s">
        <v>116</v>
      </c>
      <c r="Q197" s="22" t="s">
        <v>117</v>
      </c>
      <c r="T197" s="11">
        <v>1</v>
      </c>
      <c r="U197" s="11">
        <v>2</v>
      </c>
      <c r="V197" s="11" t="s">
        <v>111</v>
      </c>
      <c r="W197" s="944" t="s">
        <v>115</v>
      </c>
      <c r="X197" s="945"/>
      <c r="Y197" s="11" t="s">
        <v>201</v>
      </c>
      <c r="Z197" s="11" t="s">
        <v>116</v>
      </c>
      <c r="AA197" s="11" t="s">
        <v>200</v>
      </c>
      <c r="AB197" s="22" t="s">
        <v>117</v>
      </c>
      <c r="AC197" s="183"/>
      <c r="AD197" s="547"/>
      <c r="AG197" s="547"/>
      <c r="AH197" s="547"/>
      <c r="AI197" s="547"/>
      <c r="AJ197" s="547"/>
      <c r="AK197" s="547"/>
      <c r="AL197" s="183"/>
    </row>
    <row r="198" spans="2:38" x14ac:dyDescent="0.25">
      <c r="B198" s="12" t="s">
        <v>82</v>
      </c>
      <c r="C198" s="13" t="s">
        <v>127</v>
      </c>
      <c r="D198" s="13" t="s">
        <v>83</v>
      </c>
      <c r="E198" s="732" t="s">
        <v>120</v>
      </c>
      <c r="F198" s="733"/>
      <c r="G198" s="172">
        <f>'Kalkulace a Porovnání'!G198</f>
        <v>0</v>
      </c>
      <c r="H198" s="172">
        <f ca="1">'Kalkulace a Porovnání'!H198</f>
        <v>30.714285714285712</v>
      </c>
      <c r="K198" s="12" t="s">
        <v>82</v>
      </c>
      <c r="L198" s="13" t="s">
        <v>127</v>
      </c>
      <c r="M198" s="13" t="s">
        <v>83</v>
      </c>
      <c r="N198" s="732" t="s">
        <v>120</v>
      </c>
      <c r="O198" s="733"/>
      <c r="P198" s="172">
        <f>'Kalkulace a Porovnání'!P198</f>
        <v>0</v>
      </c>
      <c r="Q198" s="172">
        <f>'Kalkulace a Porovnání'!Q198</f>
        <v>0</v>
      </c>
      <c r="T198" s="12" t="s">
        <v>82</v>
      </c>
      <c r="U198" s="13" t="s">
        <v>127</v>
      </c>
      <c r="V198" s="13" t="s">
        <v>83</v>
      </c>
      <c r="W198" s="13" t="s">
        <v>120</v>
      </c>
      <c r="X198" s="101"/>
      <c r="Y198" s="172">
        <f>'Kalkulace a Porovnání'!Y198</f>
        <v>0</v>
      </c>
      <c r="Z198" s="172">
        <f>'Kalkulace a Porovnání'!Z198</f>
        <v>0</v>
      </c>
      <c r="AA198" s="172">
        <f>'Kalkulace a Porovnání'!AA198</f>
        <v>0</v>
      </c>
      <c r="AB198" s="172">
        <f ca="1">'Kalkulace a Porovnání'!AB198</f>
        <v>30.714285714285712</v>
      </c>
      <c r="AC198" s="183"/>
      <c r="AD198" s="547"/>
      <c r="AG198" s="547"/>
      <c r="AH198" s="547"/>
      <c r="AI198" s="547"/>
      <c r="AJ198" s="547"/>
      <c r="AK198" s="547"/>
      <c r="AL198" s="183"/>
    </row>
    <row r="199" spans="2:38" x14ac:dyDescent="0.25">
      <c r="B199" s="12" t="s">
        <v>84</v>
      </c>
      <c r="C199" s="13" t="s">
        <v>85</v>
      </c>
      <c r="D199" s="13" t="s">
        <v>10</v>
      </c>
      <c r="E199" s="732" t="s">
        <v>121</v>
      </c>
      <c r="F199" s="733"/>
      <c r="G199" s="449">
        <f>'Kalkulace a Porovnání'!G199</f>
        <v>0</v>
      </c>
      <c r="H199" s="449">
        <f ca="1">'Kalkulace a Porovnání'!H199</f>
        <v>0.43</v>
      </c>
      <c r="K199" s="12" t="s">
        <v>84</v>
      </c>
      <c r="L199" s="13" t="s">
        <v>85</v>
      </c>
      <c r="M199" s="13" t="s">
        <v>10</v>
      </c>
      <c r="N199" s="732" t="s">
        <v>121</v>
      </c>
      <c r="O199" s="733"/>
      <c r="P199" s="449">
        <f>'Kalkulace a Porovnání'!P199</f>
        <v>0</v>
      </c>
      <c r="Q199" s="449">
        <f>'Kalkulace a Porovnání'!Q199</f>
        <v>0</v>
      </c>
      <c r="T199" s="12" t="s">
        <v>84</v>
      </c>
      <c r="U199" s="13" t="s">
        <v>85</v>
      </c>
      <c r="V199" s="13" t="s">
        <v>10</v>
      </c>
      <c r="W199" s="13" t="s">
        <v>121</v>
      </c>
      <c r="X199" s="101"/>
      <c r="Y199" s="449">
        <f>'Kalkulace a Porovnání'!Y199</f>
        <v>0</v>
      </c>
      <c r="Z199" s="449">
        <f>'Kalkulace a Porovnání'!Z199</f>
        <v>0</v>
      </c>
      <c r="AA199" s="449">
        <f>'Kalkulace a Porovnání'!AA199</f>
        <v>0</v>
      </c>
      <c r="AB199" s="449">
        <f ca="1">'Kalkulace a Porovnání'!AB199</f>
        <v>0.43</v>
      </c>
      <c r="AC199" s="183"/>
      <c r="AD199" s="547"/>
      <c r="AG199" s="547"/>
      <c r="AH199" s="547"/>
      <c r="AI199" s="547"/>
      <c r="AJ199" s="547"/>
      <c r="AK199" s="547"/>
      <c r="AL199" s="183"/>
    </row>
    <row r="200" spans="2:38" x14ac:dyDescent="0.25">
      <c r="B200" s="12" t="s">
        <v>86</v>
      </c>
      <c r="C200" s="13" t="s">
        <v>87</v>
      </c>
      <c r="D200" s="13" t="s">
        <v>10</v>
      </c>
      <c r="E200" s="732"/>
      <c r="F200" s="733"/>
      <c r="G200" s="449">
        <f>'Kalkulace a Porovnání'!G200</f>
        <v>0</v>
      </c>
      <c r="H200" s="449">
        <f ca="1">'Kalkulace a Porovnání'!H200</f>
        <v>7.758654207907981E-3</v>
      </c>
      <c r="K200" s="12" t="s">
        <v>86</v>
      </c>
      <c r="L200" s="13" t="s">
        <v>87</v>
      </c>
      <c r="M200" s="13" t="s">
        <v>10</v>
      </c>
      <c r="N200" s="732"/>
      <c r="O200" s="733"/>
      <c r="P200" s="449">
        <f>'Kalkulace a Porovnání'!P200</f>
        <v>0</v>
      </c>
      <c r="Q200" s="449">
        <f>'Kalkulace a Porovnání'!Q200</f>
        <v>0</v>
      </c>
      <c r="T200" s="12" t="s">
        <v>86</v>
      </c>
      <c r="U200" s="13" t="s">
        <v>87</v>
      </c>
      <c r="V200" s="13" t="s">
        <v>10</v>
      </c>
      <c r="W200" s="13"/>
      <c r="X200" s="101"/>
      <c r="Y200" s="449">
        <f>'Kalkulace a Porovnání'!Y200</f>
        <v>0</v>
      </c>
      <c r="Z200" s="449">
        <f>'Kalkulace a Porovnání'!Z200</f>
        <v>0</v>
      </c>
      <c r="AA200" s="449">
        <f>'Kalkulace a Porovnání'!AA200</f>
        <v>0</v>
      </c>
      <c r="AB200" s="449">
        <f ca="1">'Kalkulace a Porovnání'!AB200</f>
        <v>7.758654207907981E-3</v>
      </c>
      <c r="AC200" s="183"/>
      <c r="AD200" s="547"/>
      <c r="AG200" s="547"/>
      <c r="AH200" s="547"/>
      <c r="AI200" s="547"/>
      <c r="AJ200" s="547"/>
      <c r="AK200" s="547"/>
      <c r="AL200" s="183"/>
    </row>
    <row r="201" spans="2:38" x14ac:dyDescent="0.25">
      <c r="B201" s="12" t="s">
        <v>88</v>
      </c>
      <c r="C201" s="21" t="s">
        <v>89</v>
      </c>
      <c r="D201" s="13" t="s">
        <v>90</v>
      </c>
      <c r="E201" s="732" t="s">
        <v>123</v>
      </c>
      <c r="F201" s="733"/>
      <c r="G201" s="172">
        <f>'Kalkulace a Porovnání'!G201</f>
        <v>0</v>
      </c>
      <c r="H201" s="172">
        <f ca="1">'Kalkulace a Porovnání'!H201</f>
        <v>1.8043381878855771</v>
      </c>
      <c r="K201" s="12" t="s">
        <v>88</v>
      </c>
      <c r="L201" s="21" t="s">
        <v>89</v>
      </c>
      <c r="M201" s="13" t="s">
        <v>90</v>
      </c>
      <c r="N201" s="732" t="s">
        <v>123</v>
      </c>
      <c r="O201" s="733"/>
      <c r="P201" s="172">
        <f>'Kalkulace a Porovnání'!P201</f>
        <v>0</v>
      </c>
      <c r="Q201" s="172">
        <f>'Kalkulace a Porovnání'!Q201</f>
        <v>0</v>
      </c>
      <c r="T201" s="12" t="s">
        <v>88</v>
      </c>
      <c r="U201" s="21" t="s">
        <v>89</v>
      </c>
      <c r="V201" s="13" t="s">
        <v>90</v>
      </c>
      <c r="W201" s="13" t="s">
        <v>123</v>
      </c>
      <c r="X201" s="101"/>
      <c r="Y201" s="172">
        <f>'Kalkulace a Porovnání'!Y201</f>
        <v>0</v>
      </c>
      <c r="Z201" s="172">
        <f>'Kalkulace a Porovnání'!Z201</f>
        <v>0</v>
      </c>
      <c r="AA201" s="172">
        <f>'Kalkulace a Porovnání'!AA201</f>
        <v>0</v>
      </c>
      <c r="AB201" s="172">
        <f ca="1">'Kalkulace a Porovnání'!AB201</f>
        <v>1.8043381878855771</v>
      </c>
      <c r="AC201" s="183"/>
      <c r="AD201" s="547"/>
      <c r="AG201" s="547"/>
      <c r="AH201" s="547"/>
      <c r="AI201" s="547"/>
      <c r="AJ201" s="547"/>
      <c r="AK201" s="547"/>
      <c r="AL201" s="183"/>
    </row>
    <row r="202" spans="2:38" x14ac:dyDescent="0.25">
      <c r="B202" s="12" t="s">
        <v>91</v>
      </c>
      <c r="C202" s="21" t="s">
        <v>92</v>
      </c>
      <c r="D202" s="13" t="s">
        <v>10</v>
      </c>
      <c r="E202" s="732"/>
      <c r="F202" s="733"/>
      <c r="G202" s="449">
        <f>'Kalkulace a Porovnání'!G202</f>
        <v>0</v>
      </c>
      <c r="H202" s="449">
        <f>'Kalkulace a Porovnání'!H202</f>
        <v>0</v>
      </c>
      <c r="K202" s="12" t="s">
        <v>91</v>
      </c>
      <c r="L202" s="21" t="s">
        <v>92</v>
      </c>
      <c r="M202" s="13" t="s">
        <v>10</v>
      </c>
      <c r="N202" s="732"/>
      <c r="O202" s="733"/>
      <c r="P202" s="449">
        <f>'Kalkulace a Porovnání'!P202</f>
        <v>0</v>
      </c>
      <c r="Q202" s="449">
        <f>'Kalkulace a Porovnání'!Q202</f>
        <v>0</v>
      </c>
      <c r="T202" s="12" t="s">
        <v>91</v>
      </c>
      <c r="U202" s="21" t="s">
        <v>92</v>
      </c>
      <c r="V202" s="13" t="s">
        <v>10</v>
      </c>
      <c r="W202" s="13"/>
      <c r="X202" s="101"/>
      <c r="Y202" s="449">
        <f>'Kalkulace a Porovnání'!Y202</f>
        <v>0</v>
      </c>
      <c r="Z202" s="449">
        <f>'Kalkulace a Porovnání'!Z202</f>
        <v>0</v>
      </c>
      <c r="AA202" s="449">
        <f>'Kalkulace a Porovnání'!AA202</f>
        <v>0</v>
      </c>
      <c r="AB202" s="449">
        <f>'Kalkulace a Porovnání'!AB202</f>
        <v>0</v>
      </c>
      <c r="AC202" s="183"/>
      <c r="AD202" s="547"/>
      <c r="AG202" s="547"/>
      <c r="AH202" s="547"/>
      <c r="AI202" s="547"/>
      <c r="AJ202" s="547"/>
      <c r="AK202" s="547"/>
      <c r="AL202" s="183"/>
    </row>
    <row r="203" spans="2:38" x14ac:dyDescent="0.25">
      <c r="B203" s="12" t="s">
        <v>93</v>
      </c>
      <c r="C203" s="13" t="s">
        <v>94</v>
      </c>
      <c r="D203" s="13" t="s">
        <v>10</v>
      </c>
      <c r="E203" s="732" t="s">
        <v>122</v>
      </c>
      <c r="F203" s="733"/>
      <c r="G203" s="449">
        <f>'Kalkulace a Porovnání'!G203</f>
        <v>0</v>
      </c>
      <c r="H203" s="449">
        <f ca="1">'Kalkulace a Porovnání'!H203</f>
        <v>0.43775865420790799</v>
      </c>
      <c r="K203" s="12" t="s">
        <v>93</v>
      </c>
      <c r="L203" s="13" t="s">
        <v>94</v>
      </c>
      <c r="M203" s="13" t="s">
        <v>10</v>
      </c>
      <c r="N203" s="732" t="s">
        <v>122</v>
      </c>
      <c r="O203" s="733"/>
      <c r="P203" s="449">
        <f>'Kalkulace a Porovnání'!P203</f>
        <v>0</v>
      </c>
      <c r="Q203" s="449">
        <f>'Kalkulace a Porovnání'!Q203</f>
        <v>0</v>
      </c>
      <c r="T203" s="12" t="s">
        <v>93</v>
      </c>
      <c r="U203" s="13" t="s">
        <v>94</v>
      </c>
      <c r="V203" s="13" t="s">
        <v>10</v>
      </c>
      <c r="W203" s="13" t="s">
        <v>122</v>
      </c>
      <c r="X203" s="101"/>
      <c r="Y203" s="449">
        <f>'Kalkulace a Porovnání'!Y203</f>
        <v>0</v>
      </c>
      <c r="Z203" s="449">
        <f>'Kalkulace a Porovnání'!Z203</f>
        <v>0</v>
      </c>
      <c r="AA203" s="449">
        <f>'Kalkulace a Porovnání'!AA203</f>
        <v>0</v>
      </c>
      <c r="AB203" s="449">
        <f ca="1">'Kalkulace a Porovnání'!AB203</f>
        <v>0.43775865420790799</v>
      </c>
      <c r="AC203" s="183"/>
      <c r="AD203" s="547"/>
      <c r="AG203" s="547"/>
      <c r="AH203" s="547"/>
      <c r="AI203" s="547"/>
      <c r="AJ203" s="547"/>
      <c r="AK203" s="547"/>
      <c r="AL203" s="183"/>
    </row>
    <row r="204" spans="2:38" x14ac:dyDescent="0.25">
      <c r="B204" s="12" t="s">
        <v>95</v>
      </c>
      <c r="C204" s="13" t="s">
        <v>96</v>
      </c>
      <c r="D204" s="13" t="s">
        <v>66</v>
      </c>
      <c r="E204" s="732" t="s">
        <v>124</v>
      </c>
      <c r="F204" s="733"/>
      <c r="G204" s="449">
        <f>'Kalkulace a Porovnání'!G204</f>
        <v>0</v>
      </c>
      <c r="H204" s="449">
        <f>'Kalkulace a Porovnání'!H204</f>
        <v>1.4E-2</v>
      </c>
      <c r="K204" s="12" t="s">
        <v>95</v>
      </c>
      <c r="L204" s="13" t="s">
        <v>96</v>
      </c>
      <c r="M204" s="13" t="s">
        <v>66</v>
      </c>
      <c r="N204" s="732" t="s">
        <v>124</v>
      </c>
      <c r="O204" s="733"/>
      <c r="P204" s="449">
        <f>'Kalkulace a Porovnání'!P204</f>
        <v>0</v>
      </c>
      <c r="Q204" s="449">
        <f>'Kalkulace a Porovnání'!Q204</f>
        <v>0</v>
      </c>
      <c r="T204" s="12" t="s">
        <v>95</v>
      </c>
      <c r="U204" s="13" t="s">
        <v>96</v>
      </c>
      <c r="V204" s="13" t="s">
        <v>66</v>
      </c>
      <c r="W204" s="13" t="s">
        <v>124</v>
      </c>
      <c r="X204" s="101"/>
      <c r="Y204" s="449">
        <f>'Kalkulace a Porovnání'!Y204</f>
        <v>0</v>
      </c>
      <c r="Z204" s="449">
        <f>'Kalkulace a Porovnání'!Z204</f>
        <v>0</v>
      </c>
      <c r="AA204" s="449">
        <f>'Kalkulace a Porovnání'!AA204</f>
        <v>0</v>
      </c>
      <c r="AB204" s="449">
        <f>'Kalkulace a Porovnání'!AB204</f>
        <v>1.4E-2</v>
      </c>
      <c r="AC204" s="183"/>
      <c r="AD204" s="547"/>
      <c r="AG204" s="547"/>
      <c r="AH204" s="547"/>
      <c r="AI204" s="547"/>
      <c r="AJ204" s="547"/>
      <c r="AK204" s="547"/>
      <c r="AL204" s="183"/>
    </row>
    <row r="205" spans="2:38" x14ac:dyDescent="0.25">
      <c r="B205" s="12" t="s">
        <v>97</v>
      </c>
      <c r="C205" s="13" t="s">
        <v>98</v>
      </c>
      <c r="D205" s="13" t="s">
        <v>83</v>
      </c>
      <c r="E205" s="732" t="s">
        <v>125</v>
      </c>
      <c r="F205" s="733"/>
      <c r="G205" s="172">
        <f>'Kalkulace a Porovnání'!G205</f>
        <v>0</v>
      </c>
      <c r="H205" s="172">
        <f ca="1">'Kalkulace a Porovnání'!H205</f>
        <v>31.268475300564855</v>
      </c>
      <c r="K205" s="12" t="s">
        <v>97</v>
      </c>
      <c r="L205" s="13" t="s">
        <v>98</v>
      </c>
      <c r="M205" s="13" t="s">
        <v>83</v>
      </c>
      <c r="N205" s="732" t="s">
        <v>125</v>
      </c>
      <c r="O205" s="733"/>
      <c r="P205" s="172">
        <f>'Kalkulace a Porovnání'!P205</f>
        <v>0</v>
      </c>
      <c r="Q205" s="172">
        <f>'Kalkulace a Porovnání'!Q205</f>
        <v>0</v>
      </c>
      <c r="T205" s="12" t="s">
        <v>97</v>
      </c>
      <c r="U205" s="13" t="s">
        <v>98</v>
      </c>
      <c r="V205" s="13" t="s">
        <v>83</v>
      </c>
      <c r="W205" s="13" t="s">
        <v>125</v>
      </c>
      <c r="X205" s="101"/>
      <c r="Y205" s="172">
        <f>'Kalkulace a Porovnání'!Y205</f>
        <v>0</v>
      </c>
      <c r="Z205" s="172">
        <f>'Kalkulace a Porovnání'!Z205</f>
        <v>0</v>
      </c>
      <c r="AA205" s="172">
        <f>'Kalkulace a Porovnání'!AA205</f>
        <v>0</v>
      </c>
      <c r="AB205" s="172">
        <f ca="1">'Kalkulace a Porovnání'!AB205</f>
        <v>31.268475300564855</v>
      </c>
      <c r="AC205" s="183"/>
      <c r="AD205" s="547"/>
      <c r="AG205" s="547"/>
      <c r="AH205" s="547"/>
      <c r="AI205" s="547"/>
      <c r="AJ205" s="547"/>
      <c r="AK205" s="547"/>
      <c r="AL205" s="183"/>
    </row>
    <row r="206" spans="2:38" x14ac:dyDescent="0.25">
      <c r="B206" s="12" t="s">
        <v>99</v>
      </c>
      <c r="C206" s="13" t="str">
        <f>CONCATENATE("CENA pro vodné, stočné + ",Provozování!E234*100,"% DPH")</f>
        <v>CENA pro vodné, stočné + 0% DPH</v>
      </c>
      <c r="D206" s="13" t="s">
        <v>83</v>
      </c>
      <c r="E206" s="732" t="s">
        <v>126</v>
      </c>
      <c r="F206" s="733"/>
      <c r="G206" s="172">
        <f>'Kalkulace a Porovnání'!G206</f>
        <v>0</v>
      </c>
      <c r="H206" s="172">
        <f ca="1">'Kalkulace a Porovnání'!H206</f>
        <v>35.958746595649579</v>
      </c>
      <c r="K206" s="12" t="s">
        <v>99</v>
      </c>
      <c r="L206" s="13" t="str">
        <f>C206</f>
        <v>CENA pro vodné, stočné + 0% DPH</v>
      </c>
      <c r="M206" s="13" t="s">
        <v>83</v>
      </c>
      <c r="N206" s="732" t="s">
        <v>126</v>
      </c>
      <c r="O206" s="733"/>
      <c r="P206" s="172">
        <f>'Kalkulace a Porovnání'!P206</f>
        <v>0</v>
      </c>
      <c r="Q206" s="172">
        <f>'Kalkulace a Porovnání'!Q206</f>
        <v>0</v>
      </c>
      <c r="T206" s="12" t="s">
        <v>99</v>
      </c>
      <c r="U206" s="13" t="str">
        <f>C206</f>
        <v>CENA pro vodné, stočné + 0% DPH</v>
      </c>
      <c r="V206" s="13" t="s">
        <v>83</v>
      </c>
      <c r="W206" s="13" t="s">
        <v>126</v>
      </c>
      <c r="X206" s="101"/>
      <c r="Y206" s="172">
        <f>'Kalkulace a Porovnání'!Y206</f>
        <v>0</v>
      </c>
      <c r="Z206" s="172">
        <f>'Kalkulace a Porovnání'!Z206</f>
        <v>0</v>
      </c>
      <c r="AA206" s="172">
        <f>'Kalkulace a Porovnání'!AA206</f>
        <v>0</v>
      </c>
      <c r="AB206" s="172">
        <f ca="1">'Kalkulace a Porovnání'!AB206</f>
        <v>35.958746595649579</v>
      </c>
      <c r="AC206" s="183"/>
      <c r="AD206" s="547"/>
      <c r="AG206" s="547"/>
      <c r="AH206" s="547"/>
      <c r="AI206" s="547"/>
      <c r="AJ206" s="547"/>
      <c r="AK206" s="547"/>
      <c r="AL206" s="183"/>
    </row>
    <row r="207" spans="2:38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T207" s="967" t="s">
        <v>203</v>
      </c>
      <c r="U207" s="967" t="s">
        <v>202</v>
      </c>
      <c r="V207" s="968" t="s">
        <v>10</v>
      </c>
      <c r="W207" s="919" t="s">
        <v>204</v>
      </c>
      <c r="X207" s="732"/>
      <c r="Y207" s="102" t="s">
        <v>206</v>
      </c>
      <c r="Z207" s="105" t="s">
        <v>207</v>
      </c>
      <c r="AA207" s="102" t="s">
        <v>206</v>
      </c>
      <c r="AB207" s="105" t="s">
        <v>207</v>
      </c>
      <c r="AC207" s="183"/>
      <c r="AD207" s="547"/>
      <c r="AG207" s="547"/>
      <c r="AH207" s="547"/>
      <c r="AI207" s="547"/>
      <c r="AJ207" s="547"/>
      <c r="AK207" s="547"/>
      <c r="AL207" s="183"/>
    </row>
    <row r="208" spans="2:38" x14ac:dyDescent="0.25">
      <c r="B208" s="500"/>
      <c r="C208" s="499"/>
      <c r="D208" s="499"/>
      <c r="E208" s="499"/>
      <c r="F208" s="499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T208" s="967"/>
      <c r="U208" s="967"/>
      <c r="V208" s="968"/>
      <c r="W208" s="969">
        <f>'Kalkulace a Porovnání'!W208</f>
        <v>0</v>
      </c>
      <c r="X208" s="970"/>
      <c r="Y208" s="103">
        <f>'Kalkulace a Porovnání'!Y208</f>
        <v>2022</v>
      </c>
      <c r="Z208" s="103">
        <f>'Kalkulace a Porovnání'!Z208</f>
        <v>2022</v>
      </c>
      <c r="AA208" s="103">
        <f>'Kalkulace a Porovnání'!AA208</f>
        <v>2022</v>
      </c>
      <c r="AB208" s="103">
        <f>'Kalkulace a Porovnání'!AB208</f>
        <v>2022</v>
      </c>
      <c r="AC208" s="183"/>
      <c r="AD208" s="547"/>
      <c r="AG208" s="547"/>
      <c r="AH208" s="547"/>
      <c r="AI208" s="547"/>
      <c r="AJ208" s="547"/>
      <c r="AK208" s="547"/>
      <c r="AL208" s="183"/>
    </row>
    <row r="209" spans="2:38" x14ac:dyDescent="0.25">
      <c r="B209" s="500"/>
      <c r="C209" s="499"/>
      <c r="D209" s="499"/>
      <c r="E209" s="499"/>
      <c r="F209" s="499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T209" s="967"/>
      <c r="U209" s="967"/>
      <c r="V209" s="968"/>
      <c r="W209" s="919" t="s">
        <v>205</v>
      </c>
      <c r="X209" s="732"/>
      <c r="Y209" s="104" t="s">
        <v>208</v>
      </c>
      <c r="Z209" s="104" t="s">
        <v>208</v>
      </c>
      <c r="AA209" s="104" t="s">
        <v>209</v>
      </c>
      <c r="AB209" s="104" t="s">
        <v>209</v>
      </c>
      <c r="AC209" s="183"/>
      <c r="AD209" s="547"/>
      <c r="AG209" s="547"/>
      <c r="AH209" s="547"/>
      <c r="AI209" s="547"/>
      <c r="AJ209" s="547"/>
      <c r="AK209" s="547"/>
      <c r="AL209" s="183"/>
    </row>
    <row r="210" spans="2:38" x14ac:dyDescent="0.25">
      <c r="B210" s="499"/>
      <c r="C210" s="499"/>
      <c r="D210" s="499"/>
      <c r="E210" s="499"/>
      <c r="F210" s="499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T210" s="967"/>
      <c r="U210" s="967"/>
      <c r="V210" s="968"/>
      <c r="W210" s="971">
        <f>'Kalkulace a Porovnání'!W210</f>
        <v>0</v>
      </c>
      <c r="X210" s="971"/>
      <c r="Y210" s="449">
        <f>'Kalkulace a Porovnání'!Y210</f>
        <v>0</v>
      </c>
      <c r="Z210" s="449">
        <f>'Kalkulace a Porovnání'!Z210</f>
        <v>0</v>
      </c>
      <c r="AA210" s="449">
        <f>'Kalkulace a Porovnání'!AA210</f>
        <v>0</v>
      </c>
      <c r="AB210" s="449">
        <f>'Kalkulace a Porovnání'!AB210</f>
        <v>0</v>
      </c>
      <c r="AC210" s="183"/>
      <c r="AD210" s="547"/>
      <c r="AG210" s="547"/>
      <c r="AH210" s="547"/>
      <c r="AI210" s="547"/>
      <c r="AJ210" s="547"/>
      <c r="AK210" s="547"/>
      <c r="AL210" s="183"/>
    </row>
    <row r="211" spans="2:38" x14ac:dyDescent="0.25">
      <c r="B211" s="31"/>
      <c r="AC211" s="183"/>
      <c r="AD211" s="547"/>
      <c r="AG211" s="547"/>
      <c r="AH211" s="547"/>
      <c r="AI211" s="547"/>
      <c r="AJ211" s="547"/>
      <c r="AK211" s="547"/>
      <c r="AL211" s="183"/>
    </row>
    <row r="212" spans="2:38" x14ac:dyDescent="0.25">
      <c r="B212" s="726" t="s">
        <v>393</v>
      </c>
      <c r="C212" s="727"/>
      <c r="D212" s="727"/>
      <c r="E212" s="727"/>
      <c r="F212" s="727"/>
      <c r="G212" s="727"/>
      <c r="H212" s="727"/>
      <c r="K212" s="726" t="s">
        <v>394</v>
      </c>
      <c r="L212" s="727"/>
      <c r="M212" s="727"/>
      <c r="N212" s="727"/>
      <c r="O212" s="727"/>
      <c r="P212" s="727"/>
      <c r="Q212" s="727"/>
      <c r="T212" s="726" t="s">
        <v>210</v>
      </c>
      <c r="U212" s="727"/>
      <c r="V212" s="727"/>
      <c r="W212" s="727"/>
      <c r="X212" s="727"/>
      <c r="Y212" s="727"/>
      <c r="Z212" s="727"/>
      <c r="AA212" s="727"/>
      <c r="AB212" s="727"/>
      <c r="AC212" s="183"/>
      <c r="AD212" s="547"/>
      <c r="AG212" s="547"/>
      <c r="AH212" s="547"/>
      <c r="AI212" s="547"/>
      <c r="AJ212" s="547"/>
      <c r="AK212" s="547"/>
      <c r="AL212" s="183"/>
    </row>
    <row r="213" spans="2:38" x14ac:dyDescent="0.25">
      <c r="C213" s="362"/>
      <c r="E213" s="25"/>
      <c r="F213" s="25"/>
      <c r="L213" s="25"/>
      <c r="N213" s="25"/>
      <c r="T213" s="950" t="s">
        <v>395</v>
      </c>
      <c r="U213" s="950"/>
      <c r="V213" s="950"/>
      <c r="W213" s="950"/>
      <c r="X213" s="950"/>
      <c r="Y213" s="950"/>
      <c r="Z213" s="950"/>
      <c r="AA213" s="950"/>
      <c r="AB213" s="950"/>
      <c r="AC213" s="183"/>
      <c r="AD213" s="547"/>
      <c r="AG213" s="547"/>
      <c r="AH213" s="547"/>
      <c r="AI213" s="547"/>
      <c r="AJ213" s="547"/>
      <c r="AK213" s="547"/>
      <c r="AL213" s="183"/>
    </row>
    <row r="214" spans="2:38" x14ac:dyDescent="0.25">
      <c r="C214" s="362" t="s">
        <v>119</v>
      </c>
      <c r="D214" s="364">
        <f>'Kalkulace a Porovnání'!D214</f>
        <v>2023</v>
      </c>
      <c r="E214" s="25"/>
      <c r="F214" s="362" t="s">
        <v>278</v>
      </c>
      <c r="G214" s="365">
        <f>'Kalkulace a Porovnání'!G214</f>
        <v>44927</v>
      </c>
      <c r="H214" s="365" t="str">
        <f>'Kalkulace a Porovnání'!H214</f>
        <v>- 31.12.2023</v>
      </c>
      <c r="L214" s="362" t="s">
        <v>119</v>
      </c>
      <c r="M214" s="364">
        <f>'Kalkulace a Porovnání'!M214</f>
        <v>2023</v>
      </c>
      <c r="O214" s="362" t="s">
        <v>278</v>
      </c>
      <c r="P214" s="365" t="str">
        <f>'Kalkulace a Porovnání'!P214</f>
        <v>-</v>
      </c>
      <c r="Q214" s="365" t="str">
        <f>'Kalkulace a Porovnání'!Q214</f>
        <v xml:space="preserve"> </v>
      </c>
      <c r="T214" s="441"/>
      <c r="U214" s="441"/>
      <c r="V214" s="451" t="s">
        <v>195</v>
      </c>
      <c r="W214" s="364">
        <f>'Kalkulace a Porovnání'!W214</f>
        <v>2023</v>
      </c>
      <c r="Z214" s="362" t="s">
        <v>278</v>
      </c>
      <c r="AA214" s="365">
        <f>'Kalkulace a Porovnání'!AA214</f>
        <v>44927</v>
      </c>
      <c r="AB214" s="365" t="str">
        <f>'Kalkulace a Porovnání'!AB214</f>
        <v>- 31.12.2023</v>
      </c>
      <c r="AC214" s="183"/>
      <c r="AD214" s="547"/>
      <c r="AG214" s="547"/>
      <c r="AH214" s="547"/>
      <c r="AI214" s="547"/>
      <c r="AJ214" s="547"/>
      <c r="AK214" s="547"/>
      <c r="AL214" s="183"/>
    </row>
    <row r="215" spans="2:38" x14ac:dyDescent="0.25">
      <c r="B215" s="13" t="s">
        <v>74</v>
      </c>
      <c r="C215" s="13" t="s">
        <v>105</v>
      </c>
      <c r="D215" s="941" t="str">
        <f>'Kalkulace a Porovnání'!D215</f>
        <v/>
      </c>
      <c r="E215" s="942"/>
      <c r="F215" s="942"/>
      <c r="G215" s="942"/>
      <c r="H215" s="943"/>
      <c r="K215" s="13" t="s">
        <v>74</v>
      </c>
      <c r="L215" s="13" t="s">
        <v>105</v>
      </c>
      <c r="M215" s="941" t="str">
        <f>'Kalkulace a Porovnání'!M215</f>
        <v/>
      </c>
      <c r="N215" s="942"/>
      <c r="O215" s="942"/>
      <c r="P215" s="942"/>
      <c r="Q215" s="943"/>
      <c r="T215" s="13" t="s">
        <v>74</v>
      </c>
      <c r="U215" s="13" t="s">
        <v>105</v>
      </c>
      <c r="V215" s="949" t="str">
        <f>'Kalkulace a Porovnání'!V215</f>
        <v/>
      </c>
      <c r="W215" s="738"/>
      <c r="X215" s="738"/>
      <c r="Y215" s="738"/>
      <c r="Z215" s="738"/>
      <c r="AA215" s="738"/>
      <c r="AB215" s="738"/>
      <c r="AC215" s="183"/>
      <c r="AD215" s="547"/>
      <c r="AG215" s="342"/>
      <c r="AH215" s="342"/>
      <c r="AI215" s="342"/>
      <c r="AJ215" s="342"/>
      <c r="AK215" s="547"/>
      <c r="AL215" s="183"/>
    </row>
    <row r="216" spans="2:38" x14ac:dyDescent="0.25">
      <c r="B216" s="13" t="s">
        <v>100</v>
      </c>
      <c r="C216" s="13" t="s">
        <v>106</v>
      </c>
      <c r="D216" s="941" t="str">
        <f>'Kalkulace a Porovnání'!D216</f>
        <v/>
      </c>
      <c r="E216" s="942"/>
      <c r="F216" s="942"/>
      <c r="G216" s="942"/>
      <c r="H216" s="943"/>
      <c r="K216" s="13" t="s">
        <v>100</v>
      </c>
      <c r="L216" s="13" t="s">
        <v>106</v>
      </c>
      <c r="M216" s="941" t="str">
        <f>'Kalkulace a Porovnání'!M216</f>
        <v/>
      </c>
      <c r="N216" s="942"/>
      <c r="O216" s="942"/>
      <c r="P216" s="942"/>
      <c r="Q216" s="943"/>
      <c r="T216" s="13" t="s">
        <v>100</v>
      </c>
      <c r="U216" s="13" t="s">
        <v>106</v>
      </c>
      <c r="V216" s="949" t="str">
        <f>'Kalkulace a Porovnání'!V216</f>
        <v/>
      </c>
      <c r="W216" s="738"/>
      <c r="X216" s="738"/>
      <c r="Y216" s="738"/>
      <c r="Z216" s="738"/>
      <c r="AA216" s="738"/>
      <c r="AB216" s="738"/>
      <c r="AC216" s="183"/>
      <c r="AD216" s="547"/>
      <c r="AG216" s="342"/>
      <c r="AH216" s="342"/>
      <c r="AI216" s="342"/>
      <c r="AJ216" s="342"/>
      <c r="AK216" s="547"/>
      <c r="AL216" s="183"/>
    </row>
    <row r="217" spans="2:38" x14ac:dyDescent="0.25">
      <c r="B217" s="13" t="s">
        <v>101</v>
      </c>
      <c r="C217" s="13" t="s">
        <v>107</v>
      </c>
      <c r="D217" s="941" t="str">
        <f>'Kalkulace a Porovnání'!D217</f>
        <v xml:space="preserve">Město Kraslice, IČ </v>
      </c>
      <c r="E217" s="942"/>
      <c r="F217" s="942"/>
      <c r="G217" s="942"/>
      <c r="H217" s="943"/>
      <c r="K217" s="13" t="s">
        <v>101</v>
      </c>
      <c r="L217" s="13" t="s">
        <v>107</v>
      </c>
      <c r="M217" s="941" t="str">
        <f>'Kalkulace a Porovnání'!M217</f>
        <v xml:space="preserve">Město Kraslice, IČ </v>
      </c>
      <c r="N217" s="942"/>
      <c r="O217" s="942"/>
      <c r="P217" s="942"/>
      <c r="Q217" s="943"/>
      <c r="T217" s="13" t="s">
        <v>101</v>
      </c>
      <c r="U217" s="13" t="s">
        <v>107</v>
      </c>
      <c r="V217" s="949" t="str">
        <f>'Kalkulace a Porovnání'!V217</f>
        <v xml:space="preserve">Město Kraslice, IČ </v>
      </c>
      <c r="W217" s="738"/>
      <c r="X217" s="738"/>
      <c r="Y217" s="738"/>
      <c r="Z217" s="738"/>
      <c r="AA217" s="738"/>
      <c r="AB217" s="738"/>
      <c r="AC217" s="183"/>
      <c r="AD217" s="547"/>
      <c r="AG217" s="342"/>
      <c r="AH217" s="342"/>
      <c r="AI217" s="342"/>
      <c r="AJ217" s="342"/>
      <c r="AK217" s="547"/>
      <c r="AL217" s="183"/>
    </row>
    <row r="218" spans="2:38" x14ac:dyDescent="0.25">
      <c r="B218" s="13" t="s">
        <v>102</v>
      </c>
      <c r="C218" s="13" t="s">
        <v>109</v>
      </c>
      <c r="D218" s="941" t="str">
        <f>'Kalkulace a Porovnání'!D218</f>
        <v>[vyplnit]</v>
      </c>
      <c r="E218" s="942"/>
      <c r="F218" s="942"/>
      <c r="G218" s="942"/>
      <c r="H218" s="943"/>
      <c r="K218" s="13" t="s">
        <v>102</v>
      </c>
      <c r="L218" s="13" t="s">
        <v>109</v>
      </c>
      <c r="M218" s="941" t="str">
        <f>'Kalkulace a Porovnání'!M218</f>
        <v xml:space="preserve"> </v>
      </c>
      <c r="N218" s="942"/>
      <c r="O218" s="942"/>
      <c r="P218" s="942"/>
      <c r="Q218" s="943"/>
      <c r="T218" s="13" t="s">
        <v>102</v>
      </c>
      <c r="U218" s="13" t="s">
        <v>109</v>
      </c>
      <c r="V218" s="949" t="str">
        <f>'Kalkulace a Porovnání'!V218</f>
        <v xml:space="preserve"> </v>
      </c>
      <c r="W218" s="738"/>
      <c r="X218" s="738"/>
      <c r="Y218" s="738"/>
      <c r="Z218" s="738"/>
      <c r="AA218" s="738"/>
      <c r="AB218" s="738"/>
      <c r="AC218" s="183"/>
      <c r="AD218" s="547"/>
      <c r="AG218" s="342"/>
      <c r="AH218" s="342"/>
      <c r="AI218" s="342"/>
      <c r="AJ218" s="342"/>
      <c r="AK218" s="547"/>
      <c r="AL218" s="183"/>
    </row>
    <row r="219" spans="2:38" x14ac:dyDescent="0.25">
      <c r="B219" s="13" t="s">
        <v>103</v>
      </c>
      <c r="C219" s="13" t="s">
        <v>108</v>
      </c>
      <c r="D219" s="941" t="str">
        <f>'Kalkulace a Porovnání'!D219</f>
        <v>[vyplnit]</v>
      </c>
      <c r="E219" s="942"/>
      <c r="F219" s="942"/>
      <c r="G219" s="942"/>
      <c r="H219" s="943"/>
      <c r="K219" s="13" t="s">
        <v>103</v>
      </c>
      <c r="L219" s="13" t="s">
        <v>108</v>
      </c>
      <c r="M219" s="941" t="str">
        <f>'Kalkulace a Porovnání'!M219</f>
        <v xml:space="preserve"> </v>
      </c>
      <c r="N219" s="942"/>
      <c r="O219" s="942"/>
      <c r="P219" s="942"/>
      <c r="Q219" s="943"/>
      <c r="T219" s="13" t="s">
        <v>103</v>
      </c>
      <c r="U219" s="13" t="s">
        <v>108</v>
      </c>
      <c r="V219" s="949" t="str">
        <f>'Kalkulace a Porovnání'!V219</f>
        <v xml:space="preserve"> </v>
      </c>
      <c r="W219" s="738"/>
      <c r="X219" s="738"/>
      <c r="Y219" s="738"/>
      <c r="Z219" s="738"/>
      <c r="AA219" s="738"/>
      <c r="AB219" s="738"/>
      <c r="AC219" s="183"/>
      <c r="AD219" s="547"/>
      <c r="AG219" s="342"/>
      <c r="AH219" s="342"/>
      <c r="AI219" s="342"/>
      <c r="AJ219" s="342"/>
      <c r="AK219" s="547"/>
      <c r="AL219" s="183"/>
    </row>
    <row r="220" spans="2:38" x14ac:dyDescent="0.25">
      <c r="B220" s="13" t="s">
        <v>104</v>
      </c>
      <c r="C220" s="13" t="s">
        <v>110</v>
      </c>
      <c r="D220" s="941" t="str">
        <f>'Kalkulace a Porovnání'!D220</f>
        <v>[vyplnit]</v>
      </c>
      <c r="E220" s="942"/>
      <c r="F220" s="942"/>
      <c r="G220" s="942"/>
      <c r="H220" s="943"/>
      <c r="K220" s="13" t="s">
        <v>104</v>
      </c>
      <c r="L220" s="13" t="s">
        <v>110</v>
      </c>
      <c r="M220" s="941" t="str">
        <f>'Kalkulace a Porovnání'!M220</f>
        <v xml:space="preserve"> </v>
      </c>
      <c r="N220" s="942"/>
      <c r="O220" s="942"/>
      <c r="P220" s="942"/>
      <c r="Q220" s="943"/>
      <c r="T220" s="13" t="s">
        <v>104</v>
      </c>
      <c r="U220" s="13" t="s">
        <v>110</v>
      </c>
      <c r="V220" s="949" t="str">
        <f>'Kalkulace a Porovnání'!V220</f>
        <v xml:space="preserve"> </v>
      </c>
      <c r="W220" s="738"/>
      <c r="X220" s="738"/>
      <c r="Y220" s="738"/>
      <c r="Z220" s="738"/>
      <c r="AA220" s="738"/>
      <c r="AB220" s="738"/>
      <c r="AC220" s="183"/>
      <c r="AD220" s="547"/>
      <c r="AG220" s="342"/>
      <c r="AH220" s="342"/>
      <c r="AI220" s="342"/>
      <c r="AJ220" s="342"/>
      <c r="AK220" s="547"/>
      <c r="AL220" s="183"/>
    </row>
    <row r="221" spans="2:38" x14ac:dyDescent="0.25">
      <c r="AC221" s="183"/>
      <c r="AD221" s="547"/>
      <c r="AG221" s="342"/>
      <c r="AH221" s="342"/>
      <c r="AI221" s="342"/>
      <c r="AJ221" s="342"/>
      <c r="AK221" s="547"/>
      <c r="AL221" s="183"/>
    </row>
    <row r="222" spans="2:38" x14ac:dyDescent="0.25">
      <c r="B222" s="932" t="s">
        <v>5</v>
      </c>
      <c r="C222" s="721" t="s">
        <v>0</v>
      </c>
      <c r="D222" s="722"/>
      <c r="E222" s="722"/>
      <c r="F222" s="722"/>
      <c r="G222" s="722"/>
      <c r="H222" s="725"/>
      <c r="K222" s="932" t="s">
        <v>5</v>
      </c>
      <c r="L222" s="721" t="s">
        <v>0</v>
      </c>
      <c r="M222" s="722"/>
      <c r="N222" s="722"/>
      <c r="O222" s="722"/>
      <c r="P222" s="722"/>
      <c r="Q222" s="725"/>
      <c r="T222" s="932" t="s">
        <v>5</v>
      </c>
      <c r="U222" s="721" t="s">
        <v>0</v>
      </c>
      <c r="V222" s="722"/>
      <c r="W222" s="722"/>
      <c r="X222" s="722"/>
      <c r="Y222" s="722"/>
      <c r="Z222" s="722"/>
      <c r="AA222" s="722"/>
      <c r="AB222" s="725"/>
      <c r="AC222" s="183"/>
      <c r="AD222" s="547"/>
      <c r="AG222" s="342"/>
      <c r="AH222" s="342"/>
      <c r="AI222" s="342"/>
      <c r="AJ222" s="342"/>
      <c r="AK222" s="547"/>
      <c r="AL222" s="183"/>
    </row>
    <row r="223" spans="2:38" x14ac:dyDescent="0.25">
      <c r="B223" s="930"/>
      <c r="C223" s="932" t="s">
        <v>1</v>
      </c>
      <c r="D223" s="929" t="s">
        <v>173</v>
      </c>
      <c r="E223" s="721" t="s">
        <v>3</v>
      </c>
      <c r="F223" s="722"/>
      <c r="G223" s="721" t="s">
        <v>4</v>
      </c>
      <c r="H223" s="725"/>
      <c r="K223" s="930"/>
      <c r="L223" s="932" t="s">
        <v>1</v>
      </c>
      <c r="M223" s="929" t="s">
        <v>173</v>
      </c>
      <c r="N223" s="721" t="s">
        <v>3</v>
      </c>
      <c r="O223" s="722"/>
      <c r="P223" s="721" t="s">
        <v>4</v>
      </c>
      <c r="Q223" s="725"/>
      <c r="T223" s="930"/>
      <c r="U223" s="932" t="s">
        <v>1</v>
      </c>
      <c r="V223" s="929" t="s">
        <v>173</v>
      </c>
      <c r="W223" s="721" t="s">
        <v>3</v>
      </c>
      <c r="X223" s="722"/>
      <c r="Y223" s="722"/>
      <c r="Z223" s="721" t="s">
        <v>4</v>
      </c>
      <c r="AA223" s="722"/>
      <c r="AB223" s="725"/>
      <c r="AC223" s="183"/>
      <c r="AD223" s="547"/>
      <c r="AG223" s="342"/>
      <c r="AH223" s="342"/>
      <c r="AI223" s="342"/>
      <c r="AJ223" s="342"/>
      <c r="AK223" s="547"/>
      <c r="AL223" s="183"/>
    </row>
    <row r="224" spans="2:38" x14ac:dyDescent="0.25">
      <c r="B224" s="930"/>
      <c r="C224" s="930"/>
      <c r="D224" s="930"/>
      <c r="E224" s="30">
        <f>'Kalkulace a Porovnání'!E224</f>
        <v>2022</v>
      </c>
      <c r="F224" s="30">
        <f>'Kalkulace a Porovnání'!F224</f>
        <v>2023</v>
      </c>
      <c r="G224" s="30">
        <f>'Kalkulace a Porovnání'!G224</f>
        <v>2022</v>
      </c>
      <c r="H224" s="30">
        <f>'Kalkulace a Porovnání'!H224</f>
        <v>2023</v>
      </c>
      <c r="K224" s="930"/>
      <c r="L224" s="930"/>
      <c r="M224" s="930"/>
      <c r="N224" s="30">
        <f>'Kalkulace a Porovnání'!N224</f>
        <v>2022</v>
      </c>
      <c r="O224" s="30">
        <f>'Kalkulace a Porovnání'!O224</f>
        <v>2023</v>
      </c>
      <c r="P224" s="30">
        <f>'Kalkulace a Porovnání'!P224</f>
        <v>2022</v>
      </c>
      <c r="Q224" s="30">
        <f>'Kalkulace a Porovnání'!Q224</f>
        <v>2023</v>
      </c>
      <c r="T224" s="930"/>
      <c r="U224" s="930"/>
      <c r="V224" s="930"/>
      <c r="W224" s="30">
        <f>'Kalkulace a Porovnání'!W224</f>
        <v>2023</v>
      </c>
      <c r="X224" s="30">
        <f>'Kalkulace a Porovnání'!X224</f>
        <v>2023</v>
      </c>
      <c r="Y224" s="30">
        <f>'Kalkulace a Porovnání'!Y224</f>
        <v>2023</v>
      </c>
      <c r="Z224" s="30">
        <f>'Kalkulace a Porovnání'!Z224</f>
        <v>2023</v>
      </c>
      <c r="AA224" s="30">
        <f>'Kalkulace a Porovnání'!AA224</f>
        <v>2023</v>
      </c>
      <c r="AB224" s="30">
        <f>'Kalkulace a Porovnání'!AB224</f>
        <v>2023</v>
      </c>
      <c r="AC224" s="183"/>
      <c r="AD224" s="547"/>
      <c r="AG224" s="342"/>
      <c r="AH224" s="342"/>
      <c r="AI224" s="342"/>
      <c r="AJ224" s="342"/>
      <c r="AK224" s="547"/>
      <c r="AL224" s="183"/>
    </row>
    <row r="225" spans="2:38" x14ac:dyDescent="0.25">
      <c r="B225" s="931"/>
      <c r="C225" s="931"/>
      <c r="D225" s="931"/>
      <c r="E225" s="7" t="s">
        <v>199</v>
      </c>
      <c r="F225" s="7" t="s">
        <v>114</v>
      </c>
      <c r="G225" s="7" t="s">
        <v>199</v>
      </c>
      <c r="H225" s="19" t="s">
        <v>114</v>
      </c>
      <c r="K225" s="931"/>
      <c r="L225" s="931"/>
      <c r="M225" s="931"/>
      <c r="N225" s="7" t="s">
        <v>199</v>
      </c>
      <c r="O225" s="7" t="s">
        <v>114</v>
      </c>
      <c r="P225" s="7" t="s">
        <v>199</v>
      </c>
      <c r="Q225" s="19" t="s">
        <v>114</v>
      </c>
      <c r="T225" s="931"/>
      <c r="U225" s="931"/>
      <c r="V225" s="931"/>
      <c r="W225" s="7" t="s">
        <v>198</v>
      </c>
      <c r="X225" s="7" t="s">
        <v>114</v>
      </c>
      <c r="Y225" s="7" t="s">
        <v>197</v>
      </c>
      <c r="Z225" s="7" t="s">
        <v>198</v>
      </c>
      <c r="AA225" s="7" t="s">
        <v>114</v>
      </c>
      <c r="AB225" s="19" t="s">
        <v>197</v>
      </c>
      <c r="AC225" s="183"/>
      <c r="AD225" s="547"/>
      <c r="AG225" s="342"/>
      <c r="AH225" s="342"/>
      <c r="AI225" s="342"/>
      <c r="AJ225" s="342"/>
      <c r="AK225" s="547"/>
      <c r="AL225" s="183"/>
    </row>
    <row r="226" spans="2:38" x14ac:dyDescent="0.25">
      <c r="B226" s="11">
        <v>1</v>
      </c>
      <c r="C226" s="11">
        <v>2</v>
      </c>
      <c r="D226" s="11" t="s">
        <v>111</v>
      </c>
      <c r="E226" s="11">
        <v>3</v>
      </c>
      <c r="F226" s="11">
        <v>4</v>
      </c>
      <c r="G226" s="11">
        <v>6</v>
      </c>
      <c r="H226" s="22">
        <v>7</v>
      </c>
      <c r="K226" s="11">
        <v>1</v>
      </c>
      <c r="L226" s="11">
        <v>2</v>
      </c>
      <c r="M226" s="11" t="s">
        <v>111</v>
      </c>
      <c r="N226" s="11">
        <v>3</v>
      </c>
      <c r="O226" s="11">
        <v>4</v>
      </c>
      <c r="P226" s="11">
        <v>6</v>
      </c>
      <c r="Q226" s="22">
        <v>7</v>
      </c>
      <c r="T226" s="11">
        <v>1</v>
      </c>
      <c r="U226" s="11">
        <v>2</v>
      </c>
      <c r="V226" s="11" t="s">
        <v>111</v>
      </c>
      <c r="W226" s="11">
        <v>3</v>
      </c>
      <c r="X226" s="11">
        <v>4</v>
      </c>
      <c r="Y226" s="11">
        <v>5</v>
      </c>
      <c r="Z226" s="11">
        <v>6</v>
      </c>
      <c r="AA226" s="11">
        <v>7</v>
      </c>
      <c r="AB226" s="22">
        <v>8</v>
      </c>
      <c r="AC226" s="183"/>
      <c r="AD226" s="547"/>
      <c r="AG226" s="342"/>
      <c r="AH226" s="342"/>
      <c r="AI226" s="342"/>
      <c r="AJ226" s="342"/>
      <c r="AK226" s="547"/>
      <c r="AL226" s="183"/>
    </row>
    <row r="227" spans="2:38" x14ac:dyDescent="0.25">
      <c r="B227" s="9" t="s">
        <v>8</v>
      </c>
      <c r="C227" s="10" t="s">
        <v>9</v>
      </c>
      <c r="D227" s="11" t="s">
        <v>10</v>
      </c>
      <c r="E227" s="46">
        <f>'Kalkulace a Porovnání'!E227</f>
        <v>0</v>
      </c>
      <c r="F227" s="46">
        <f>'Kalkulace a Porovnání'!F227</f>
        <v>0</v>
      </c>
      <c r="G227" s="46">
        <f>'Kalkulace a Porovnání'!G227</f>
        <v>0</v>
      </c>
      <c r="H227" s="98">
        <f>'Kalkulace a Porovnání'!H227</f>
        <v>0.28999999999999998</v>
      </c>
      <c r="K227" s="9" t="s">
        <v>8</v>
      </c>
      <c r="L227" s="10" t="s">
        <v>9</v>
      </c>
      <c r="M227" s="11" t="s">
        <v>10</v>
      </c>
      <c r="N227" s="46">
        <f>'Kalkulace a Porovnání'!N227</f>
        <v>0</v>
      </c>
      <c r="O227" s="46">
        <f>'Kalkulace a Porovnání'!O227</f>
        <v>0</v>
      </c>
      <c r="P227" s="46">
        <f>'Kalkulace a Porovnání'!P227</f>
        <v>0</v>
      </c>
      <c r="Q227" s="98">
        <f>'Kalkulace a Porovnání'!Q227</f>
        <v>0</v>
      </c>
      <c r="T227" s="9" t="s">
        <v>8</v>
      </c>
      <c r="U227" s="10" t="s">
        <v>9</v>
      </c>
      <c r="V227" s="11" t="s">
        <v>10</v>
      </c>
      <c r="W227" s="46">
        <f>'Kalkulace a Porovnání'!W227</f>
        <v>0</v>
      </c>
      <c r="X227" s="46">
        <f>'Kalkulace a Porovnání'!X227</f>
        <v>0</v>
      </c>
      <c r="Y227" s="46">
        <f>'Kalkulace a Porovnání'!Y227</f>
        <v>0</v>
      </c>
      <c r="Z227" s="46">
        <f>'Kalkulace a Porovnání'!Z227</f>
        <v>0</v>
      </c>
      <c r="AA227" s="46">
        <f>'Kalkulace a Porovnání'!AA227</f>
        <v>0.28999999999999998</v>
      </c>
      <c r="AB227" s="98">
        <f>'Kalkulace a Porovnání'!AB227</f>
        <v>-0.28999999999999998</v>
      </c>
      <c r="AC227" s="183"/>
      <c r="AD227" s="547"/>
      <c r="AG227" s="342"/>
      <c r="AH227" s="342"/>
      <c r="AI227" s="342"/>
      <c r="AJ227" s="342"/>
      <c r="AK227" s="547"/>
      <c r="AL227" s="183"/>
    </row>
    <row r="228" spans="2:38" x14ac:dyDescent="0.25">
      <c r="B228" s="12" t="s">
        <v>11</v>
      </c>
      <c r="C228" s="13" t="s">
        <v>12</v>
      </c>
      <c r="D228" s="3" t="s">
        <v>10</v>
      </c>
      <c r="E228" s="49">
        <f>'Kalkulace a Porovnání'!E228</f>
        <v>0</v>
      </c>
      <c r="F228" s="49">
        <f>'Kalkulace a Porovnání'!F228</f>
        <v>0</v>
      </c>
      <c r="G228" s="49">
        <f>'Kalkulace a Porovnání'!G228</f>
        <v>0</v>
      </c>
      <c r="H228" s="32">
        <f>'Kalkulace a Porovnání'!H228</f>
        <v>0</v>
      </c>
      <c r="K228" s="12" t="s">
        <v>11</v>
      </c>
      <c r="L228" s="13" t="s">
        <v>12</v>
      </c>
      <c r="M228" s="3" t="s">
        <v>10</v>
      </c>
      <c r="N228" s="49">
        <f>'Kalkulace a Porovnání'!N228</f>
        <v>0</v>
      </c>
      <c r="O228" s="49">
        <f>'Kalkulace a Porovnání'!O228</f>
        <v>0</v>
      </c>
      <c r="P228" s="49">
        <f>'Kalkulace a Porovnání'!P228</f>
        <v>0</v>
      </c>
      <c r="Q228" s="32">
        <f>'Kalkulace a Porovnání'!Q228</f>
        <v>0</v>
      </c>
      <c r="T228" s="12" t="s">
        <v>11</v>
      </c>
      <c r="U228" s="13" t="s">
        <v>12</v>
      </c>
      <c r="V228" s="3" t="s">
        <v>10</v>
      </c>
      <c r="W228" s="49">
        <f>'Kalkulace a Porovnání'!W228</f>
        <v>0</v>
      </c>
      <c r="X228" s="49">
        <f>'Kalkulace a Porovnání'!X228</f>
        <v>0</v>
      </c>
      <c r="Y228" s="49">
        <f>'Kalkulace a Porovnání'!Y228</f>
        <v>0</v>
      </c>
      <c r="Z228" s="49">
        <f>'Kalkulace a Porovnání'!Z228</f>
        <v>0</v>
      </c>
      <c r="AA228" s="49">
        <f>'Kalkulace a Porovnání'!AA228</f>
        <v>0</v>
      </c>
      <c r="AB228" s="32">
        <f>'Kalkulace a Porovnání'!AB228</f>
        <v>0</v>
      </c>
      <c r="AC228" s="183"/>
      <c r="AD228" s="547"/>
      <c r="AG228" s="342"/>
      <c r="AH228" s="342"/>
      <c r="AI228" s="342"/>
      <c r="AJ228" s="342"/>
      <c r="AK228" s="547"/>
      <c r="AL228" s="183"/>
    </row>
    <row r="229" spans="2:38" x14ac:dyDescent="0.25">
      <c r="B229" s="12" t="s">
        <v>13</v>
      </c>
      <c r="C229" s="12" t="s">
        <v>14</v>
      </c>
      <c r="D229" s="3" t="s">
        <v>10</v>
      </c>
      <c r="E229" s="49">
        <f>'Kalkulace a Porovnání'!E229</f>
        <v>0</v>
      </c>
      <c r="F229" s="49">
        <f>'Kalkulace a Porovnání'!F229</f>
        <v>0</v>
      </c>
      <c r="G229" s="49">
        <f>'Kalkulace a Porovnání'!G229</f>
        <v>0</v>
      </c>
      <c r="H229" s="32">
        <f>'Kalkulace a Porovnání'!H229</f>
        <v>0.28999999999999998</v>
      </c>
      <c r="K229" s="12" t="s">
        <v>13</v>
      </c>
      <c r="L229" s="12" t="s">
        <v>14</v>
      </c>
      <c r="M229" s="3" t="s">
        <v>10</v>
      </c>
      <c r="N229" s="49">
        <f>'Kalkulace a Porovnání'!N229</f>
        <v>0</v>
      </c>
      <c r="O229" s="49">
        <f>'Kalkulace a Porovnání'!O229</f>
        <v>0</v>
      </c>
      <c r="P229" s="49">
        <f>'Kalkulace a Porovnání'!P229</f>
        <v>0</v>
      </c>
      <c r="Q229" s="32">
        <f>'Kalkulace a Porovnání'!Q229</f>
        <v>0</v>
      </c>
      <c r="T229" s="12" t="s">
        <v>13</v>
      </c>
      <c r="U229" s="12" t="s">
        <v>14</v>
      </c>
      <c r="V229" s="3" t="s">
        <v>10</v>
      </c>
      <c r="W229" s="49">
        <f>'Kalkulace a Porovnání'!W229</f>
        <v>0</v>
      </c>
      <c r="X229" s="49">
        <f>'Kalkulace a Porovnání'!X229</f>
        <v>0</v>
      </c>
      <c r="Y229" s="49">
        <f>'Kalkulace a Porovnání'!Y229</f>
        <v>0</v>
      </c>
      <c r="Z229" s="49">
        <f>'Kalkulace a Porovnání'!Z229</f>
        <v>0</v>
      </c>
      <c r="AA229" s="49">
        <f>'Kalkulace a Porovnání'!AA229</f>
        <v>0.28999999999999998</v>
      </c>
      <c r="AB229" s="32">
        <f>'Kalkulace a Porovnání'!AB229</f>
        <v>-0.28999999999999998</v>
      </c>
      <c r="AC229" s="183"/>
      <c r="AD229" s="547"/>
      <c r="AG229" s="342"/>
      <c r="AH229" s="342"/>
      <c r="AI229" s="342"/>
      <c r="AJ229" s="342"/>
      <c r="AK229" s="547"/>
      <c r="AL229" s="183"/>
    </row>
    <row r="230" spans="2:38" x14ac:dyDescent="0.25">
      <c r="B230" s="12" t="s">
        <v>15</v>
      </c>
      <c r="C230" s="13" t="s">
        <v>16</v>
      </c>
      <c r="D230" s="3" t="s">
        <v>10</v>
      </c>
      <c r="E230" s="49">
        <f>'Kalkulace a Porovnání'!E230</f>
        <v>0</v>
      </c>
      <c r="F230" s="49">
        <f>'Kalkulace a Porovnání'!F230</f>
        <v>0</v>
      </c>
      <c r="G230" s="49">
        <f>'Kalkulace a Porovnání'!G230</f>
        <v>0</v>
      </c>
      <c r="H230" s="32">
        <f>'Kalkulace a Porovnání'!H230</f>
        <v>0</v>
      </c>
      <c r="K230" s="12" t="s">
        <v>15</v>
      </c>
      <c r="L230" s="13" t="s">
        <v>16</v>
      </c>
      <c r="M230" s="3" t="s">
        <v>10</v>
      </c>
      <c r="N230" s="49">
        <f>'Kalkulace a Porovnání'!N230</f>
        <v>0</v>
      </c>
      <c r="O230" s="49">
        <f>'Kalkulace a Porovnání'!O230</f>
        <v>0</v>
      </c>
      <c r="P230" s="49">
        <f>'Kalkulace a Porovnání'!P230</f>
        <v>0</v>
      </c>
      <c r="Q230" s="32">
        <f>'Kalkulace a Porovnání'!Q230</f>
        <v>0</v>
      </c>
      <c r="T230" s="12" t="s">
        <v>15</v>
      </c>
      <c r="U230" s="13" t="s">
        <v>16</v>
      </c>
      <c r="V230" s="3" t="s">
        <v>10</v>
      </c>
      <c r="W230" s="49">
        <f>'Kalkulace a Porovnání'!W230</f>
        <v>0</v>
      </c>
      <c r="X230" s="49">
        <f>'Kalkulace a Porovnání'!X230</f>
        <v>0</v>
      </c>
      <c r="Y230" s="49">
        <f>'Kalkulace a Porovnání'!Y230</f>
        <v>0</v>
      </c>
      <c r="Z230" s="49">
        <f>'Kalkulace a Porovnání'!Z230</f>
        <v>0</v>
      </c>
      <c r="AA230" s="49">
        <f>'Kalkulace a Porovnání'!AA230</f>
        <v>0</v>
      </c>
      <c r="AB230" s="32">
        <f>'Kalkulace a Porovnání'!AB230</f>
        <v>0</v>
      </c>
      <c r="AC230" s="183"/>
      <c r="AD230" s="547"/>
      <c r="AG230" s="342"/>
      <c r="AH230" s="342"/>
      <c r="AI230" s="342"/>
      <c r="AJ230" s="342"/>
      <c r="AK230" s="547"/>
      <c r="AL230" s="183"/>
    </row>
    <row r="231" spans="2:38" x14ac:dyDescent="0.25">
      <c r="B231" s="12" t="s">
        <v>17</v>
      </c>
      <c r="C231" s="13" t="s">
        <v>18</v>
      </c>
      <c r="D231" s="3" t="s">
        <v>10</v>
      </c>
      <c r="E231" s="49">
        <f>'Kalkulace a Porovnání'!E231</f>
        <v>0</v>
      </c>
      <c r="F231" s="49">
        <f>'Kalkulace a Porovnání'!F231</f>
        <v>0</v>
      </c>
      <c r="G231" s="49">
        <f>'Kalkulace a Porovnání'!G231</f>
        <v>0</v>
      </c>
      <c r="H231" s="32">
        <f>'Kalkulace a Porovnání'!H231</f>
        <v>0</v>
      </c>
      <c r="K231" s="12" t="s">
        <v>17</v>
      </c>
      <c r="L231" s="13" t="s">
        <v>18</v>
      </c>
      <c r="M231" s="3" t="s">
        <v>10</v>
      </c>
      <c r="N231" s="49">
        <f>'Kalkulace a Porovnání'!N231</f>
        <v>0</v>
      </c>
      <c r="O231" s="49">
        <f>'Kalkulace a Porovnání'!O231</f>
        <v>0</v>
      </c>
      <c r="P231" s="49">
        <f>'Kalkulace a Porovnání'!P231</f>
        <v>0</v>
      </c>
      <c r="Q231" s="32">
        <f>'Kalkulace a Porovnání'!Q231</f>
        <v>0</v>
      </c>
      <c r="T231" s="12" t="s">
        <v>17</v>
      </c>
      <c r="U231" s="13" t="s">
        <v>18</v>
      </c>
      <c r="V231" s="3" t="s">
        <v>10</v>
      </c>
      <c r="W231" s="49">
        <f>'Kalkulace a Porovnání'!W231</f>
        <v>0</v>
      </c>
      <c r="X231" s="49">
        <f>'Kalkulace a Porovnání'!X231</f>
        <v>0</v>
      </c>
      <c r="Y231" s="49">
        <f>'Kalkulace a Porovnání'!Y231</f>
        <v>0</v>
      </c>
      <c r="Z231" s="49">
        <f>'Kalkulace a Porovnání'!Z231</f>
        <v>0</v>
      </c>
      <c r="AA231" s="49">
        <f>'Kalkulace a Porovnání'!AA231</f>
        <v>0</v>
      </c>
      <c r="AB231" s="32">
        <f>'Kalkulace a Porovnání'!AB231</f>
        <v>0</v>
      </c>
      <c r="AC231" s="183"/>
      <c r="AD231" s="547"/>
      <c r="AG231" s="342"/>
      <c r="AH231" s="342"/>
      <c r="AI231" s="342"/>
      <c r="AJ231" s="342"/>
      <c r="AK231" s="547"/>
      <c r="AL231" s="183"/>
    </row>
    <row r="232" spans="2:38" x14ac:dyDescent="0.25">
      <c r="B232" s="9" t="s">
        <v>19</v>
      </c>
      <c r="C232" s="10" t="s">
        <v>20</v>
      </c>
      <c r="D232" s="11" t="s">
        <v>10</v>
      </c>
      <c r="E232" s="46">
        <f>'Kalkulace a Porovnání'!E232</f>
        <v>0</v>
      </c>
      <c r="F232" s="46">
        <f>'Kalkulace a Porovnání'!F232</f>
        <v>0</v>
      </c>
      <c r="G232" s="46">
        <f>'Kalkulace a Porovnání'!G232</f>
        <v>0</v>
      </c>
      <c r="H232" s="98">
        <f>'Kalkulace a Porovnání'!H232</f>
        <v>0</v>
      </c>
      <c r="K232" s="9" t="s">
        <v>19</v>
      </c>
      <c r="L232" s="10" t="s">
        <v>20</v>
      </c>
      <c r="M232" s="11" t="s">
        <v>10</v>
      </c>
      <c r="N232" s="46">
        <f>'Kalkulace a Porovnání'!N232</f>
        <v>0</v>
      </c>
      <c r="O232" s="46">
        <f>'Kalkulace a Porovnání'!O232</f>
        <v>0</v>
      </c>
      <c r="P232" s="46">
        <f>'Kalkulace a Porovnání'!P232</f>
        <v>0</v>
      </c>
      <c r="Q232" s="98">
        <f>'Kalkulace a Porovnání'!Q232</f>
        <v>0</v>
      </c>
      <c r="T232" s="9" t="s">
        <v>19</v>
      </c>
      <c r="U232" s="10" t="s">
        <v>20</v>
      </c>
      <c r="V232" s="11" t="s">
        <v>10</v>
      </c>
      <c r="W232" s="46">
        <f>'Kalkulace a Porovnání'!W232</f>
        <v>0</v>
      </c>
      <c r="X232" s="46">
        <f>'Kalkulace a Porovnání'!X232</f>
        <v>0</v>
      </c>
      <c r="Y232" s="46">
        <f>'Kalkulace a Porovnání'!Y232</f>
        <v>0</v>
      </c>
      <c r="Z232" s="46">
        <f>'Kalkulace a Porovnání'!Z232</f>
        <v>0</v>
      </c>
      <c r="AA232" s="46">
        <f>'Kalkulace a Porovnání'!AA232</f>
        <v>0</v>
      </c>
      <c r="AB232" s="98">
        <f>'Kalkulace a Porovnání'!AB232</f>
        <v>0</v>
      </c>
      <c r="AC232" s="183"/>
      <c r="AD232" s="547"/>
      <c r="AG232" s="342"/>
      <c r="AH232" s="342"/>
      <c r="AI232" s="342"/>
      <c r="AJ232" s="342"/>
      <c r="AK232" s="547"/>
      <c r="AL232" s="183"/>
    </row>
    <row r="233" spans="2:38" x14ac:dyDescent="0.25">
      <c r="B233" s="12" t="s">
        <v>21</v>
      </c>
      <c r="C233" s="12" t="s">
        <v>22</v>
      </c>
      <c r="D233" s="3" t="s">
        <v>10</v>
      </c>
      <c r="E233" s="49">
        <f>'Kalkulace a Porovnání'!E233</f>
        <v>0</v>
      </c>
      <c r="F233" s="49">
        <f>'Kalkulace a Porovnání'!F233</f>
        <v>0</v>
      </c>
      <c r="G233" s="49">
        <f>'Kalkulace a Porovnání'!G233</f>
        <v>0</v>
      </c>
      <c r="H233" s="32">
        <f>'Kalkulace a Porovnání'!H233</f>
        <v>0</v>
      </c>
      <c r="K233" s="12" t="s">
        <v>21</v>
      </c>
      <c r="L233" s="12" t="s">
        <v>22</v>
      </c>
      <c r="M233" s="3" t="s">
        <v>10</v>
      </c>
      <c r="N233" s="49">
        <f>'Kalkulace a Porovnání'!N233</f>
        <v>0</v>
      </c>
      <c r="O233" s="49">
        <f>'Kalkulace a Porovnání'!O233</f>
        <v>0</v>
      </c>
      <c r="P233" s="49">
        <f>'Kalkulace a Porovnání'!P233</f>
        <v>0</v>
      </c>
      <c r="Q233" s="32">
        <f>'Kalkulace a Porovnání'!Q233</f>
        <v>0</v>
      </c>
      <c r="T233" s="12" t="s">
        <v>21</v>
      </c>
      <c r="U233" s="12" t="s">
        <v>22</v>
      </c>
      <c r="V233" s="3" t="s">
        <v>10</v>
      </c>
      <c r="W233" s="49">
        <f>'Kalkulace a Porovnání'!W233</f>
        <v>0</v>
      </c>
      <c r="X233" s="49">
        <f>'Kalkulace a Porovnání'!X233</f>
        <v>0</v>
      </c>
      <c r="Y233" s="49">
        <f>'Kalkulace a Porovnání'!Y233</f>
        <v>0</v>
      </c>
      <c r="Z233" s="49">
        <f>'Kalkulace a Porovnání'!Z233</f>
        <v>0</v>
      </c>
      <c r="AA233" s="49">
        <f>'Kalkulace a Porovnání'!AA233</f>
        <v>0</v>
      </c>
      <c r="AB233" s="32">
        <f>'Kalkulace a Porovnání'!AB233</f>
        <v>0</v>
      </c>
      <c r="AC233" s="183"/>
      <c r="AD233" s="547"/>
      <c r="AG233" s="342"/>
      <c r="AH233" s="342"/>
      <c r="AI233" s="342"/>
      <c r="AJ233" s="342"/>
      <c r="AK233" s="547"/>
      <c r="AL233" s="183"/>
    </row>
    <row r="234" spans="2:38" x14ac:dyDescent="0.25">
      <c r="B234" s="12" t="s">
        <v>23</v>
      </c>
      <c r="C234" s="12" t="s">
        <v>24</v>
      </c>
      <c r="D234" s="3" t="s">
        <v>10</v>
      </c>
      <c r="E234" s="49">
        <f>'Kalkulace a Porovnání'!E234</f>
        <v>0</v>
      </c>
      <c r="F234" s="49">
        <f>'Kalkulace a Porovnání'!F234</f>
        <v>0</v>
      </c>
      <c r="G234" s="49">
        <f>'Kalkulace a Porovnání'!G234</f>
        <v>0</v>
      </c>
      <c r="H234" s="32">
        <f>'Kalkulace a Porovnání'!H234</f>
        <v>0</v>
      </c>
      <c r="K234" s="12" t="s">
        <v>23</v>
      </c>
      <c r="L234" s="12" t="s">
        <v>24</v>
      </c>
      <c r="M234" s="3" t="s">
        <v>10</v>
      </c>
      <c r="N234" s="49">
        <f>'Kalkulace a Porovnání'!N234</f>
        <v>0</v>
      </c>
      <c r="O234" s="49">
        <f>'Kalkulace a Porovnání'!O234</f>
        <v>0</v>
      </c>
      <c r="P234" s="49">
        <f>'Kalkulace a Porovnání'!P234</f>
        <v>0</v>
      </c>
      <c r="Q234" s="32">
        <f>'Kalkulace a Porovnání'!Q234</f>
        <v>0</v>
      </c>
      <c r="T234" s="12" t="s">
        <v>23</v>
      </c>
      <c r="U234" s="12" t="s">
        <v>24</v>
      </c>
      <c r="V234" s="3" t="s">
        <v>10</v>
      </c>
      <c r="W234" s="49">
        <f>'Kalkulace a Porovnání'!W234</f>
        <v>0</v>
      </c>
      <c r="X234" s="49">
        <f>'Kalkulace a Porovnání'!X234</f>
        <v>0</v>
      </c>
      <c r="Y234" s="49">
        <f>'Kalkulace a Porovnání'!Y234</f>
        <v>0</v>
      </c>
      <c r="Z234" s="49">
        <f>'Kalkulace a Porovnání'!Z234</f>
        <v>0</v>
      </c>
      <c r="AA234" s="49">
        <f>'Kalkulace a Porovnání'!AA234</f>
        <v>0</v>
      </c>
      <c r="AB234" s="32">
        <f>'Kalkulace a Porovnání'!AB234</f>
        <v>0</v>
      </c>
      <c r="AC234" s="183"/>
      <c r="AD234" s="547"/>
      <c r="AG234" s="342"/>
      <c r="AH234" s="342"/>
      <c r="AI234" s="342"/>
      <c r="AJ234" s="342"/>
      <c r="AK234" s="547"/>
      <c r="AL234" s="183"/>
    </row>
    <row r="235" spans="2:38" x14ac:dyDescent="0.25">
      <c r="B235" s="9" t="s">
        <v>25</v>
      </c>
      <c r="C235" s="10" t="s">
        <v>26</v>
      </c>
      <c r="D235" s="11" t="s">
        <v>10</v>
      </c>
      <c r="E235" s="46">
        <f>'Kalkulace a Porovnání'!E235</f>
        <v>0</v>
      </c>
      <c r="F235" s="46">
        <f>'Kalkulace a Porovnání'!F235</f>
        <v>0</v>
      </c>
      <c r="G235" s="46">
        <f>'Kalkulace a Porovnání'!G235</f>
        <v>0</v>
      </c>
      <c r="H235" s="98">
        <f>'Kalkulace a Porovnání'!H235</f>
        <v>0</v>
      </c>
      <c r="K235" s="9" t="s">
        <v>25</v>
      </c>
      <c r="L235" s="10" t="s">
        <v>26</v>
      </c>
      <c r="M235" s="11" t="s">
        <v>10</v>
      </c>
      <c r="N235" s="46">
        <f>'Kalkulace a Porovnání'!N235</f>
        <v>0</v>
      </c>
      <c r="O235" s="46">
        <f>'Kalkulace a Porovnání'!O235</f>
        <v>0</v>
      </c>
      <c r="P235" s="46">
        <f>'Kalkulace a Porovnání'!P235</f>
        <v>0</v>
      </c>
      <c r="Q235" s="98">
        <f>'Kalkulace a Porovnání'!Q235</f>
        <v>0</v>
      </c>
      <c r="T235" s="9" t="s">
        <v>25</v>
      </c>
      <c r="U235" s="10" t="s">
        <v>26</v>
      </c>
      <c r="V235" s="11" t="s">
        <v>10</v>
      </c>
      <c r="W235" s="46">
        <f>'Kalkulace a Porovnání'!W235</f>
        <v>0</v>
      </c>
      <c r="X235" s="46">
        <f>'Kalkulace a Porovnání'!X235</f>
        <v>0</v>
      </c>
      <c r="Y235" s="46">
        <f>'Kalkulace a Porovnání'!Y235</f>
        <v>0</v>
      </c>
      <c r="Z235" s="46">
        <f>'Kalkulace a Porovnání'!Z235</f>
        <v>0</v>
      </c>
      <c r="AA235" s="46">
        <f>'Kalkulace a Porovnání'!AA235</f>
        <v>0</v>
      </c>
      <c r="AB235" s="98">
        <f>'Kalkulace a Porovnání'!AB235</f>
        <v>0</v>
      </c>
      <c r="AC235" s="183"/>
      <c r="AD235" s="547"/>
      <c r="AG235" s="342"/>
      <c r="AH235" s="342"/>
      <c r="AI235" s="342"/>
      <c r="AJ235" s="342"/>
      <c r="AK235" s="547"/>
      <c r="AL235" s="183"/>
    </row>
    <row r="236" spans="2:38" x14ac:dyDescent="0.25">
      <c r="B236" s="12" t="s">
        <v>27</v>
      </c>
      <c r="C236" s="13" t="s">
        <v>28</v>
      </c>
      <c r="D236" s="3" t="s">
        <v>10</v>
      </c>
      <c r="E236" s="49">
        <f>'Kalkulace a Porovnání'!E236</f>
        <v>0</v>
      </c>
      <c r="F236" s="49">
        <f>'Kalkulace a Porovnání'!F236</f>
        <v>0</v>
      </c>
      <c r="G236" s="49">
        <f>'Kalkulace a Porovnání'!G236</f>
        <v>0</v>
      </c>
      <c r="H236" s="32">
        <f>'Kalkulace a Porovnání'!H236</f>
        <v>0</v>
      </c>
      <c r="K236" s="12" t="s">
        <v>27</v>
      </c>
      <c r="L236" s="13" t="s">
        <v>28</v>
      </c>
      <c r="M236" s="3" t="s">
        <v>10</v>
      </c>
      <c r="N236" s="49">
        <f>'Kalkulace a Porovnání'!N236</f>
        <v>0</v>
      </c>
      <c r="O236" s="49">
        <f>'Kalkulace a Porovnání'!O236</f>
        <v>0</v>
      </c>
      <c r="P236" s="49">
        <f>'Kalkulace a Porovnání'!P236</f>
        <v>0</v>
      </c>
      <c r="Q236" s="32">
        <f>'Kalkulace a Porovnání'!Q236</f>
        <v>0</v>
      </c>
      <c r="T236" s="12" t="s">
        <v>27</v>
      </c>
      <c r="U236" s="13" t="s">
        <v>28</v>
      </c>
      <c r="V236" s="3" t="s">
        <v>10</v>
      </c>
      <c r="W236" s="49">
        <f>'Kalkulace a Porovnání'!W236</f>
        <v>0</v>
      </c>
      <c r="X236" s="49">
        <f>'Kalkulace a Porovnání'!X236</f>
        <v>0</v>
      </c>
      <c r="Y236" s="49">
        <f>'Kalkulace a Porovnání'!Y236</f>
        <v>0</v>
      </c>
      <c r="Z236" s="49">
        <f>'Kalkulace a Porovnání'!Z236</f>
        <v>0</v>
      </c>
      <c r="AA236" s="49">
        <f>'Kalkulace a Porovnání'!AA236</f>
        <v>0</v>
      </c>
      <c r="AB236" s="32">
        <f>'Kalkulace a Porovnání'!AB236</f>
        <v>0</v>
      </c>
      <c r="AC236" s="183"/>
      <c r="AD236" s="547"/>
      <c r="AG236" s="342"/>
      <c r="AH236" s="342"/>
      <c r="AI236" s="342"/>
      <c r="AJ236" s="342"/>
      <c r="AK236" s="547"/>
      <c r="AL236" s="183"/>
    </row>
    <row r="237" spans="2:38" x14ac:dyDescent="0.25">
      <c r="B237" s="12" t="s">
        <v>29</v>
      </c>
      <c r="C237" s="13" t="s">
        <v>30</v>
      </c>
      <c r="D237" s="3" t="s">
        <v>10</v>
      </c>
      <c r="E237" s="49">
        <f>'Kalkulace a Porovnání'!E237</f>
        <v>0</v>
      </c>
      <c r="F237" s="49">
        <f>'Kalkulace a Porovnání'!F237</f>
        <v>0</v>
      </c>
      <c r="G237" s="49">
        <f>'Kalkulace a Porovnání'!G237</f>
        <v>0</v>
      </c>
      <c r="H237" s="32">
        <f>'Kalkulace a Porovnání'!H237</f>
        <v>0</v>
      </c>
      <c r="K237" s="12" t="s">
        <v>29</v>
      </c>
      <c r="L237" s="13" t="s">
        <v>30</v>
      </c>
      <c r="M237" s="3" t="s">
        <v>10</v>
      </c>
      <c r="N237" s="49">
        <f>'Kalkulace a Porovnání'!N237</f>
        <v>0</v>
      </c>
      <c r="O237" s="49">
        <f>'Kalkulace a Porovnání'!O237</f>
        <v>0</v>
      </c>
      <c r="P237" s="49">
        <f>'Kalkulace a Porovnání'!P237</f>
        <v>0</v>
      </c>
      <c r="Q237" s="32">
        <f>'Kalkulace a Porovnání'!Q237</f>
        <v>0</v>
      </c>
      <c r="T237" s="12" t="s">
        <v>29</v>
      </c>
      <c r="U237" s="13" t="s">
        <v>30</v>
      </c>
      <c r="V237" s="3" t="s">
        <v>10</v>
      </c>
      <c r="W237" s="49">
        <f>'Kalkulace a Porovnání'!W237</f>
        <v>0</v>
      </c>
      <c r="X237" s="49">
        <f>'Kalkulace a Porovnání'!X237</f>
        <v>0</v>
      </c>
      <c r="Y237" s="49">
        <f>'Kalkulace a Porovnání'!Y237</f>
        <v>0</v>
      </c>
      <c r="Z237" s="49">
        <f>'Kalkulace a Porovnání'!Z237</f>
        <v>0</v>
      </c>
      <c r="AA237" s="49">
        <f>'Kalkulace a Porovnání'!AA237</f>
        <v>0</v>
      </c>
      <c r="AB237" s="32">
        <f>'Kalkulace a Porovnání'!AB237</f>
        <v>0</v>
      </c>
      <c r="AC237" s="183"/>
      <c r="AD237" s="547"/>
      <c r="AG237" s="342"/>
      <c r="AH237" s="342"/>
      <c r="AI237" s="342"/>
      <c r="AJ237" s="342"/>
      <c r="AK237" s="547"/>
      <c r="AL237" s="183"/>
    </row>
    <row r="238" spans="2:38" x14ac:dyDescent="0.25">
      <c r="B238" s="9" t="s">
        <v>31</v>
      </c>
      <c r="C238" s="10" t="s">
        <v>32</v>
      </c>
      <c r="D238" s="11" t="s">
        <v>10</v>
      </c>
      <c r="E238" s="46">
        <f>'Kalkulace a Porovnání'!E238</f>
        <v>0</v>
      </c>
      <c r="F238" s="46">
        <f>'Kalkulace a Porovnání'!F238</f>
        <v>0</v>
      </c>
      <c r="G238" s="46">
        <f>'Kalkulace a Porovnání'!G238</f>
        <v>0</v>
      </c>
      <c r="H238" s="98">
        <f>'Kalkulace a Porovnání'!H238</f>
        <v>0.15</v>
      </c>
      <c r="K238" s="9" t="s">
        <v>31</v>
      </c>
      <c r="L238" s="10" t="s">
        <v>32</v>
      </c>
      <c r="M238" s="11" t="s">
        <v>10</v>
      </c>
      <c r="N238" s="46">
        <f>'Kalkulace a Porovnání'!N238</f>
        <v>0</v>
      </c>
      <c r="O238" s="46">
        <f>'Kalkulace a Porovnání'!O238</f>
        <v>0</v>
      </c>
      <c r="P238" s="46">
        <f>'Kalkulace a Porovnání'!P238</f>
        <v>0</v>
      </c>
      <c r="Q238" s="98">
        <f>'Kalkulace a Porovnání'!Q238</f>
        <v>0</v>
      </c>
      <c r="T238" s="9" t="s">
        <v>31</v>
      </c>
      <c r="U238" s="10" t="s">
        <v>32</v>
      </c>
      <c r="V238" s="11" t="s">
        <v>10</v>
      </c>
      <c r="W238" s="46">
        <f>'Kalkulace a Porovnání'!W238</f>
        <v>0</v>
      </c>
      <c r="X238" s="46">
        <f>'Kalkulace a Porovnání'!X238</f>
        <v>0</v>
      </c>
      <c r="Y238" s="46">
        <f>'Kalkulace a Porovnání'!Y238</f>
        <v>0</v>
      </c>
      <c r="Z238" s="46">
        <f>'Kalkulace a Porovnání'!Z238</f>
        <v>0</v>
      </c>
      <c r="AA238" s="46">
        <f>'Kalkulace a Porovnání'!AA238</f>
        <v>0.15</v>
      </c>
      <c r="AB238" s="98">
        <f>'Kalkulace a Porovnání'!AB238</f>
        <v>-0.15</v>
      </c>
      <c r="AC238" s="183"/>
      <c r="AD238" s="547"/>
      <c r="AG238" s="342"/>
      <c r="AH238" s="342"/>
      <c r="AI238" s="342"/>
      <c r="AJ238" s="342"/>
      <c r="AK238" s="547"/>
      <c r="AL238" s="183"/>
    </row>
    <row r="239" spans="2:38" x14ac:dyDescent="0.25">
      <c r="B239" s="12" t="s">
        <v>33</v>
      </c>
      <c r="C239" s="21" t="s">
        <v>34</v>
      </c>
      <c r="D239" s="3" t="s">
        <v>10</v>
      </c>
      <c r="E239" s="49">
        <f>'Kalkulace a Porovnání'!E239</f>
        <v>0</v>
      </c>
      <c r="F239" s="49">
        <f>'Kalkulace a Porovnání'!F239</f>
        <v>0</v>
      </c>
      <c r="G239" s="49">
        <f>'Kalkulace a Porovnání'!G239</f>
        <v>0</v>
      </c>
      <c r="H239" s="32">
        <f>'Kalkulace a Porovnání'!H239</f>
        <v>0</v>
      </c>
      <c r="K239" s="12" t="s">
        <v>33</v>
      </c>
      <c r="L239" s="21" t="s">
        <v>34</v>
      </c>
      <c r="M239" s="3" t="s">
        <v>10</v>
      </c>
      <c r="N239" s="49">
        <f>'Kalkulace a Porovnání'!N239</f>
        <v>0</v>
      </c>
      <c r="O239" s="49">
        <f>'Kalkulace a Porovnání'!O239</f>
        <v>0</v>
      </c>
      <c r="P239" s="49">
        <f>'Kalkulace a Porovnání'!P239</f>
        <v>0</v>
      </c>
      <c r="Q239" s="32">
        <f>'Kalkulace a Porovnání'!Q239</f>
        <v>0</v>
      </c>
      <c r="T239" s="12" t="s">
        <v>33</v>
      </c>
      <c r="U239" s="21" t="s">
        <v>34</v>
      </c>
      <c r="V239" s="3" t="s">
        <v>10</v>
      </c>
      <c r="W239" s="49">
        <f>'Kalkulace a Porovnání'!W239</f>
        <v>0</v>
      </c>
      <c r="X239" s="49">
        <f>'Kalkulace a Porovnání'!X239</f>
        <v>0</v>
      </c>
      <c r="Y239" s="49">
        <f>'Kalkulace a Porovnání'!Y239</f>
        <v>0</v>
      </c>
      <c r="Z239" s="49">
        <f>'Kalkulace a Porovnání'!Z239</f>
        <v>0</v>
      </c>
      <c r="AA239" s="49">
        <f>'Kalkulace a Porovnání'!AA239</f>
        <v>0</v>
      </c>
      <c r="AB239" s="32">
        <f>'Kalkulace a Porovnání'!AB239</f>
        <v>0</v>
      </c>
      <c r="AC239" s="183"/>
      <c r="AD239" s="547"/>
      <c r="AG239" s="547"/>
      <c r="AH239" s="547"/>
      <c r="AI239" s="342"/>
      <c r="AJ239" s="342"/>
      <c r="AK239" s="547"/>
      <c r="AL239" s="183"/>
    </row>
    <row r="240" spans="2:38" x14ac:dyDescent="0.25">
      <c r="B240" s="12" t="s">
        <v>35</v>
      </c>
      <c r="C240" s="13" t="s">
        <v>36</v>
      </c>
      <c r="D240" s="3" t="s">
        <v>10</v>
      </c>
      <c r="E240" s="49">
        <f>'Kalkulace a Porovnání'!E240</f>
        <v>0</v>
      </c>
      <c r="F240" s="49">
        <f>'Kalkulace a Porovnání'!F240</f>
        <v>0</v>
      </c>
      <c r="G240" s="49">
        <f>'Kalkulace a Porovnání'!G240</f>
        <v>0</v>
      </c>
      <c r="H240" s="32">
        <f>'Kalkulace a Porovnání'!H240</f>
        <v>0</v>
      </c>
      <c r="K240" s="12" t="s">
        <v>35</v>
      </c>
      <c r="L240" s="13" t="s">
        <v>36</v>
      </c>
      <c r="M240" s="3" t="s">
        <v>10</v>
      </c>
      <c r="N240" s="49">
        <f>'Kalkulace a Porovnání'!N240</f>
        <v>0</v>
      </c>
      <c r="O240" s="49">
        <f>'Kalkulace a Porovnání'!O240</f>
        <v>0</v>
      </c>
      <c r="P240" s="49">
        <f>'Kalkulace a Porovnání'!P240</f>
        <v>0</v>
      </c>
      <c r="Q240" s="32">
        <f>'Kalkulace a Porovnání'!Q240</f>
        <v>0</v>
      </c>
      <c r="T240" s="12" t="s">
        <v>35</v>
      </c>
      <c r="U240" s="13" t="s">
        <v>36</v>
      </c>
      <c r="V240" s="3" t="s">
        <v>10</v>
      </c>
      <c r="W240" s="49">
        <f>'Kalkulace a Porovnání'!W240</f>
        <v>0</v>
      </c>
      <c r="X240" s="49">
        <f>'Kalkulace a Porovnání'!X240</f>
        <v>0</v>
      </c>
      <c r="Y240" s="49">
        <f>'Kalkulace a Porovnání'!Y240</f>
        <v>0</v>
      </c>
      <c r="Z240" s="49">
        <f>'Kalkulace a Porovnání'!Z240</f>
        <v>0</v>
      </c>
      <c r="AA240" s="49">
        <f>'Kalkulace a Porovnání'!AA240</f>
        <v>0</v>
      </c>
      <c r="AB240" s="32">
        <f>'Kalkulace a Porovnání'!AB240</f>
        <v>0</v>
      </c>
      <c r="AC240" s="183"/>
      <c r="AD240" s="547"/>
      <c r="AG240" s="547"/>
      <c r="AH240" s="547"/>
      <c r="AI240" s="342"/>
      <c r="AJ240" s="342"/>
      <c r="AK240" s="547"/>
      <c r="AL240" s="183"/>
    </row>
    <row r="241" spans="2:38" x14ac:dyDescent="0.25">
      <c r="B241" s="12" t="s">
        <v>37</v>
      </c>
      <c r="C241" s="13" t="s">
        <v>38</v>
      </c>
      <c r="D241" s="3" t="s">
        <v>10</v>
      </c>
      <c r="E241" s="49">
        <f>'Kalkulace a Porovnání'!E241</f>
        <v>0</v>
      </c>
      <c r="F241" s="49">
        <f>'Kalkulace a Porovnání'!F241</f>
        <v>0</v>
      </c>
      <c r="G241" s="49">
        <f>'Kalkulace a Porovnání'!G241</f>
        <v>0</v>
      </c>
      <c r="H241" s="32">
        <f>'Kalkulace a Porovnání'!H241</f>
        <v>0.15</v>
      </c>
      <c r="K241" s="12" t="s">
        <v>37</v>
      </c>
      <c r="L241" s="13" t="s">
        <v>38</v>
      </c>
      <c r="M241" s="3" t="s">
        <v>10</v>
      </c>
      <c r="N241" s="49">
        <f>'Kalkulace a Porovnání'!N241</f>
        <v>0</v>
      </c>
      <c r="O241" s="49">
        <f>'Kalkulace a Porovnání'!O241</f>
        <v>0</v>
      </c>
      <c r="P241" s="49">
        <f>'Kalkulace a Porovnání'!P241</f>
        <v>0</v>
      </c>
      <c r="Q241" s="32">
        <f>'Kalkulace a Porovnání'!Q241</f>
        <v>0</v>
      </c>
      <c r="T241" s="12" t="s">
        <v>37</v>
      </c>
      <c r="U241" s="13" t="s">
        <v>38</v>
      </c>
      <c r="V241" s="3" t="s">
        <v>10</v>
      </c>
      <c r="W241" s="49">
        <f>'Kalkulace a Porovnání'!W241</f>
        <v>0</v>
      </c>
      <c r="X241" s="49">
        <f>'Kalkulace a Porovnání'!X241</f>
        <v>0</v>
      </c>
      <c r="Y241" s="49">
        <f>'Kalkulace a Porovnání'!Y241</f>
        <v>0</v>
      </c>
      <c r="Z241" s="49">
        <f>'Kalkulace a Porovnání'!Z241</f>
        <v>0</v>
      </c>
      <c r="AA241" s="49">
        <f>'Kalkulace a Porovnání'!AA241</f>
        <v>0.15</v>
      </c>
      <c r="AB241" s="32">
        <f>'Kalkulace a Porovnání'!AB241</f>
        <v>-0.15</v>
      </c>
      <c r="AC241" s="183"/>
      <c r="AD241" s="547"/>
      <c r="AG241" s="342"/>
      <c r="AH241" s="342"/>
      <c r="AI241" s="342"/>
      <c r="AJ241" s="342"/>
      <c r="AK241" s="547"/>
      <c r="AL241" s="183"/>
    </row>
    <row r="242" spans="2:38" x14ac:dyDescent="0.25">
      <c r="B242" s="12" t="s">
        <v>39</v>
      </c>
      <c r="C242" s="21" t="s">
        <v>40</v>
      </c>
      <c r="D242" s="3" t="s">
        <v>10</v>
      </c>
      <c r="E242" s="49">
        <f>'Kalkulace a Porovnání'!E242</f>
        <v>0</v>
      </c>
      <c r="F242" s="49">
        <f>'Kalkulace a Porovnání'!F242</f>
        <v>0</v>
      </c>
      <c r="G242" s="49">
        <f>'Kalkulace a Porovnání'!G242</f>
        <v>0</v>
      </c>
      <c r="H242" s="32">
        <f>'Kalkulace a Porovnání'!H242</f>
        <v>0</v>
      </c>
      <c r="K242" s="12" t="s">
        <v>39</v>
      </c>
      <c r="L242" s="21" t="s">
        <v>40</v>
      </c>
      <c r="M242" s="3" t="s">
        <v>10</v>
      </c>
      <c r="N242" s="49">
        <f>'Kalkulace a Porovnání'!N242</f>
        <v>0</v>
      </c>
      <c r="O242" s="49">
        <f>'Kalkulace a Porovnání'!O242</f>
        <v>0</v>
      </c>
      <c r="P242" s="49">
        <f>'Kalkulace a Porovnání'!P242</f>
        <v>0</v>
      </c>
      <c r="Q242" s="32">
        <f>'Kalkulace a Porovnání'!Q242</f>
        <v>0</v>
      </c>
      <c r="T242" s="12" t="s">
        <v>39</v>
      </c>
      <c r="U242" s="21" t="s">
        <v>40</v>
      </c>
      <c r="V242" s="3" t="s">
        <v>10</v>
      </c>
      <c r="W242" s="49">
        <f>'Kalkulace a Porovnání'!W242</f>
        <v>0</v>
      </c>
      <c r="X242" s="49">
        <f>'Kalkulace a Porovnání'!X242</f>
        <v>0</v>
      </c>
      <c r="Y242" s="49">
        <f>'Kalkulace a Porovnání'!Y242</f>
        <v>0</v>
      </c>
      <c r="Z242" s="49">
        <f>'Kalkulace a Porovnání'!Z242</f>
        <v>0</v>
      </c>
      <c r="AA242" s="49">
        <f>'Kalkulace a Porovnání'!AA242</f>
        <v>0</v>
      </c>
      <c r="AB242" s="32">
        <f>'Kalkulace a Porovnání'!AB242</f>
        <v>0</v>
      </c>
      <c r="AC242" s="183"/>
      <c r="AD242" s="547"/>
      <c r="AG242" s="342"/>
      <c r="AH242" s="342"/>
      <c r="AI242" s="342"/>
      <c r="AJ242" s="342"/>
      <c r="AK242" s="547"/>
      <c r="AL242" s="183"/>
    </row>
    <row r="243" spans="2:38" x14ac:dyDescent="0.25">
      <c r="B243" s="9" t="s">
        <v>41</v>
      </c>
      <c r="C243" s="10" t="s">
        <v>42</v>
      </c>
      <c r="D243" s="11" t="s">
        <v>10</v>
      </c>
      <c r="E243" s="46">
        <f>'Kalkulace a Porovnání'!E243</f>
        <v>0</v>
      </c>
      <c r="F243" s="46">
        <f>'Kalkulace a Porovnání'!F243</f>
        <v>0</v>
      </c>
      <c r="G243" s="46">
        <f>'Kalkulace a Porovnání'!G243</f>
        <v>0</v>
      </c>
      <c r="H243" s="98">
        <f>'Kalkulace a Porovnání'!H243</f>
        <v>0</v>
      </c>
      <c r="K243" s="9" t="s">
        <v>41</v>
      </c>
      <c r="L243" s="10" t="s">
        <v>42</v>
      </c>
      <c r="M243" s="11" t="s">
        <v>10</v>
      </c>
      <c r="N243" s="46">
        <f>'Kalkulace a Porovnání'!N243</f>
        <v>0</v>
      </c>
      <c r="O243" s="46">
        <f>'Kalkulace a Porovnání'!O243</f>
        <v>0</v>
      </c>
      <c r="P243" s="46">
        <f>'Kalkulace a Porovnání'!P243</f>
        <v>0</v>
      </c>
      <c r="Q243" s="98">
        <f>'Kalkulace a Porovnání'!Q243</f>
        <v>0</v>
      </c>
      <c r="T243" s="9" t="s">
        <v>41</v>
      </c>
      <c r="U243" s="10" t="s">
        <v>42</v>
      </c>
      <c r="V243" s="11" t="s">
        <v>10</v>
      </c>
      <c r="W243" s="46">
        <f>'Kalkulace a Porovnání'!W243</f>
        <v>0</v>
      </c>
      <c r="X243" s="46">
        <f>'Kalkulace a Porovnání'!X243</f>
        <v>0</v>
      </c>
      <c r="Y243" s="46">
        <f>'Kalkulace a Porovnání'!Y243</f>
        <v>0</v>
      </c>
      <c r="Z243" s="46">
        <f>'Kalkulace a Porovnání'!Z243</f>
        <v>0</v>
      </c>
      <c r="AA243" s="46">
        <f>'Kalkulace a Porovnání'!AA243</f>
        <v>0</v>
      </c>
      <c r="AB243" s="98">
        <f>'Kalkulace a Porovnání'!AB243</f>
        <v>0</v>
      </c>
      <c r="AC243" s="183"/>
      <c r="AD243" s="547"/>
      <c r="AG243" s="548"/>
      <c r="AH243" s="548"/>
      <c r="AI243" s="342"/>
      <c r="AJ243" s="342"/>
      <c r="AK243" s="547"/>
      <c r="AL243" s="183"/>
    </row>
    <row r="244" spans="2:38" x14ac:dyDescent="0.25">
      <c r="B244" s="12" t="s">
        <v>43</v>
      </c>
      <c r="C244" s="13" t="s">
        <v>44</v>
      </c>
      <c r="D244" s="3" t="s">
        <v>10</v>
      </c>
      <c r="E244" s="49">
        <f>'Kalkulace a Porovnání'!E244</f>
        <v>0</v>
      </c>
      <c r="F244" s="49">
        <f>'Kalkulace a Porovnání'!F244</f>
        <v>0</v>
      </c>
      <c r="G244" s="49">
        <f>'Kalkulace a Porovnání'!G244</f>
        <v>0</v>
      </c>
      <c r="H244" s="32">
        <f>'Kalkulace a Porovnání'!H244</f>
        <v>0</v>
      </c>
      <c r="K244" s="12" t="s">
        <v>43</v>
      </c>
      <c r="L244" s="13" t="s">
        <v>44</v>
      </c>
      <c r="M244" s="3" t="s">
        <v>10</v>
      </c>
      <c r="N244" s="49">
        <f>'Kalkulace a Porovnání'!N244</f>
        <v>0</v>
      </c>
      <c r="O244" s="49">
        <f>'Kalkulace a Porovnání'!O244</f>
        <v>0</v>
      </c>
      <c r="P244" s="49">
        <f>'Kalkulace a Porovnání'!P244</f>
        <v>0</v>
      </c>
      <c r="Q244" s="32">
        <f>'Kalkulace a Porovnání'!Q244</f>
        <v>0</v>
      </c>
      <c r="T244" s="12" t="s">
        <v>43</v>
      </c>
      <c r="U244" s="13" t="s">
        <v>44</v>
      </c>
      <c r="V244" s="3" t="s">
        <v>10</v>
      </c>
      <c r="W244" s="49">
        <f>'Kalkulace a Porovnání'!W244</f>
        <v>0</v>
      </c>
      <c r="X244" s="49">
        <f>'Kalkulace a Porovnání'!X244</f>
        <v>0</v>
      </c>
      <c r="Y244" s="49">
        <f>'Kalkulace a Porovnání'!Y244</f>
        <v>0</v>
      </c>
      <c r="Z244" s="49">
        <f>'Kalkulace a Porovnání'!Z244</f>
        <v>0</v>
      </c>
      <c r="AA244" s="49">
        <f>'Kalkulace a Porovnání'!AA244</f>
        <v>0</v>
      </c>
      <c r="AB244" s="32">
        <f>'Kalkulace a Porovnání'!AB244</f>
        <v>0</v>
      </c>
      <c r="AC244" s="183"/>
      <c r="AD244" s="547"/>
      <c r="AG244" s="972"/>
      <c r="AH244" s="972"/>
      <c r="AI244" s="342"/>
      <c r="AJ244" s="342"/>
      <c r="AK244" s="547"/>
      <c r="AL244" s="183"/>
    </row>
    <row r="245" spans="2:38" x14ac:dyDescent="0.25">
      <c r="B245" s="12" t="s">
        <v>45</v>
      </c>
      <c r="C245" s="12" t="s">
        <v>46</v>
      </c>
      <c r="D245" s="3" t="s">
        <v>10</v>
      </c>
      <c r="E245" s="49">
        <f>'Kalkulace a Porovnání'!E245</f>
        <v>0</v>
      </c>
      <c r="F245" s="49">
        <f>'Kalkulace a Porovnání'!F245</f>
        <v>0</v>
      </c>
      <c r="G245" s="49">
        <f>'Kalkulace a Porovnání'!G245</f>
        <v>0</v>
      </c>
      <c r="H245" s="32">
        <f>'Kalkulace a Porovnání'!H245</f>
        <v>0</v>
      </c>
      <c r="K245" s="12" t="s">
        <v>45</v>
      </c>
      <c r="L245" s="12" t="s">
        <v>46</v>
      </c>
      <c r="M245" s="3" t="s">
        <v>10</v>
      </c>
      <c r="N245" s="49">
        <f>'Kalkulace a Porovnání'!N245</f>
        <v>0</v>
      </c>
      <c r="O245" s="49">
        <f>'Kalkulace a Porovnání'!O245</f>
        <v>0</v>
      </c>
      <c r="P245" s="49">
        <f>'Kalkulace a Porovnání'!P245</f>
        <v>0</v>
      </c>
      <c r="Q245" s="32">
        <f>'Kalkulace a Porovnání'!Q245</f>
        <v>0</v>
      </c>
      <c r="T245" s="12" t="s">
        <v>45</v>
      </c>
      <c r="U245" s="12" t="s">
        <v>46</v>
      </c>
      <c r="V245" s="3" t="s">
        <v>10</v>
      </c>
      <c r="W245" s="49">
        <f>'Kalkulace a Porovnání'!W245</f>
        <v>0</v>
      </c>
      <c r="X245" s="49">
        <f>'Kalkulace a Porovnání'!X245</f>
        <v>0</v>
      </c>
      <c r="Y245" s="49">
        <f>'Kalkulace a Porovnání'!Y245</f>
        <v>0</v>
      </c>
      <c r="Z245" s="49">
        <f>'Kalkulace a Porovnání'!Z245</f>
        <v>0</v>
      </c>
      <c r="AA245" s="49">
        <f>'Kalkulace a Porovnání'!AA245</f>
        <v>0</v>
      </c>
      <c r="AB245" s="32">
        <f>'Kalkulace a Porovnání'!AB245</f>
        <v>0</v>
      </c>
      <c r="AC245" s="183"/>
      <c r="AD245" s="547"/>
      <c r="AG245" s="972"/>
      <c r="AH245" s="972"/>
      <c r="AI245" s="342"/>
      <c r="AJ245" s="342"/>
      <c r="AK245" s="547"/>
      <c r="AL245" s="183"/>
    </row>
    <row r="246" spans="2:38" x14ac:dyDescent="0.25">
      <c r="B246" s="12" t="s">
        <v>47</v>
      </c>
      <c r="C246" s="13" t="s">
        <v>48</v>
      </c>
      <c r="D246" s="3" t="s">
        <v>10</v>
      </c>
      <c r="E246" s="49">
        <f>'Kalkulace a Porovnání'!E246</f>
        <v>0</v>
      </c>
      <c r="F246" s="49">
        <f>'Kalkulace a Porovnání'!F246</f>
        <v>0</v>
      </c>
      <c r="G246" s="49">
        <f>'Kalkulace a Porovnání'!G246</f>
        <v>0</v>
      </c>
      <c r="H246" s="32">
        <f>'Kalkulace a Porovnání'!H246</f>
        <v>0</v>
      </c>
      <c r="K246" s="12" t="s">
        <v>47</v>
      </c>
      <c r="L246" s="13" t="s">
        <v>48</v>
      </c>
      <c r="M246" s="3" t="s">
        <v>10</v>
      </c>
      <c r="N246" s="49">
        <f>'Kalkulace a Porovnání'!N246</f>
        <v>0</v>
      </c>
      <c r="O246" s="49">
        <f>'Kalkulace a Porovnání'!O246</f>
        <v>0</v>
      </c>
      <c r="P246" s="49">
        <f>'Kalkulace a Porovnání'!P246</f>
        <v>0</v>
      </c>
      <c r="Q246" s="32">
        <f>'Kalkulace a Porovnání'!Q246</f>
        <v>0</v>
      </c>
      <c r="T246" s="12" t="s">
        <v>47</v>
      </c>
      <c r="U246" s="13" t="s">
        <v>48</v>
      </c>
      <c r="V246" s="3" t="s">
        <v>10</v>
      </c>
      <c r="W246" s="49">
        <f>'Kalkulace a Porovnání'!W246</f>
        <v>0</v>
      </c>
      <c r="X246" s="49">
        <f>'Kalkulace a Porovnání'!X246</f>
        <v>0</v>
      </c>
      <c r="Y246" s="49">
        <f>'Kalkulace a Porovnání'!Y246</f>
        <v>0</v>
      </c>
      <c r="Z246" s="49">
        <f>'Kalkulace a Porovnání'!Z246</f>
        <v>0</v>
      </c>
      <c r="AA246" s="49">
        <f>'Kalkulace a Porovnání'!AA246</f>
        <v>0</v>
      </c>
      <c r="AB246" s="32">
        <f>'Kalkulace a Porovnání'!AB246</f>
        <v>0</v>
      </c>
      <c r="AC246" s="183"/>
      <c r="AD246" s="547"/>
      <c r="AG246" s="545"/>
      <c r="AH246" s="545"/>
      <c r="AI246" s="342"/>
      <c r="AJ246" s="342"/>
      <c r="AK246" s="547"/>
      <c r="AL246" s="183"/>
    </row>
    <row r="247" spans="2:38" x14ac:dyDescent="0.25">
      <c r="B247" s="9" t="s">
        <v>49</v>
      </c>
      <c r="C247" s="10" t="s">
        <v>50</v>
      </c>
      <c r="D247" s="11" t="s">
        <v>10</v>
      </c>
      <c r="E247" s="49">
        <f>'Kalkulace a Porovnání'!E247</f>
        <v>0</v>
      </c>
      <c r="F247" s="49">
        <f>'Kalkulace a Porovnání'!F247</f>
        <v>0</v>
      </c>
      <c r="G247" s="49">
        <f>'Kalkulace a Porovnání'!G247</f>
        <v>0</v>
      </c>
      <c r="H247" s="32">
        <f>'Kalkulace a Porovnání'!H247</f>
        <v>0</v>
      </c>
      <c r="K247" s="9" t="s">
        <v>49</v>
      </c>
      <c r="L247" s="10" t="s">
        <v>50</v>
      </c>
      <c r="M247" s="11" t="s">
        <v>10</v>
      </c>
      <c r="N247" s="49">
        <f>'Kalkulace a Porovnání'!N247</f>
        <v>0</v>
      </c>
      <c r="O247" s="49">
        <f>'Kalkulace a Porovnání'!O247</f>
        <v>0</v>
      </c>
      <c r="P247" s="49">
        <f>'Kalkulace a Porovnání'!P247</f>
        <v>0</v>
      </c>
      <c r="Q247" s="32">
        <f>'Kalkulace a Porovnání'!Q247</f>
        <v>0</v>
      </c>
      <c r="T247" s="9" t="s">
        <v>49</v>
      </c>
      <c r="U247" s="10" t="s">
        <v>50</v>
      </c>
      <c r="V247" s="11" t="s">
        <v>10</v>
      </c>
      <c r="W247" s="49">
        <f>'Kalkulace a Porovnání'!W247</f>
        <v>0</v>
      </c>
      <c r="X247" s="49">
        <f>'Kalkulace a Porovnání'!X247</f>
        <v>0</v>
      </c>
      <c r="Y247" s="49">
        <f>'Kalkulace a Porovnání'!Y247</f>
        <v>0</v>
      </c>
      <c r="Z247" s="49">
        <f>'Kalkulace a Porovnání'!Z247</f>
        <v>0</v>
      </c>
      <c r="AA247" s="49">
        <f>'Kalkulace a Porovnání'!AA247</f>
        <v>0</v>
      </c>
      <c r="AB247" s="32">
        <f>'Kalkulace a Porovnání'!AB247</f>
        <v>0</v>
      </c>
      <c r="AC247" s="183"/>
      <c r="AD247" s="547"/>
      <c r="AG247" s="184"/>
      <c r="AH247" s="184"/>
      <c r="AI247" s="342"/>
      <c r="AJ247" s="342"/>
      <c r="AK247" s="547"/>
      <c r="AL247" s="183"/>
    </row>
    <row r="248" spans="2:38" x14ac:dyDescent="0.25">
      <c r="B248" s="9" t="s">
        <v>51</v>
      </c>
      <c r="C248" s="10" t="s">
        <v>52</v>
      </c>
      <c r="D248" s="11" t="s">
        <v>10</v>
      </c>
      <c r="E248" s="49">
        <f>'Kalkulace a Porovnání'!E248</f>
        <v>0</v>
      </c>
      <c r="F248" s="49">
        <f>'Kalkulace a Porovnání'!F248</f>
        <v>0</v>
      </c>
      <c r="G248" s="49">
        <f>'Kalkulace a Porovnání'!G248</f>
        <v>0</v>
      </c>
      <c r="H248" s="32">
        <f ca="1">'Kalkulace a Porovnání'!H248</f>
        <v>0</v>
      </c>
      <c r="K248" s="9" t="s">
        <v>51</v>
      </c>
      <c r="L248" s="10" t="s">
        <v>52</v>
      </c>
      <c r="M248" s="11" t="s">
        <v>10</v>
      </c>
      <c r="N248" s="49">
        <f>'Kalkulace a Porovnání'!N248</f>
        <v>0</v>
      </c>
      <c r="O248" s="49">
        <f>'Kalkulace a Porovnání'!O248</f>
        <v>0</v>
      </c>
      <c r="P248" s="49">
        <f>'Kalkulace a Porovnání'!P248</f>
        <v>0</v>
      </c>
      <c r="Q248" s="32">
        <f>'Kalkulace a Porovnání'!Q248</f>
        <v>0</v>
      </c>
      <c r="T248" s="9" t="s">
        <v>51</v>
      </c>
      <c r="U248" s="10" t="s">
        <v>52</v>
      </c>
      <c r="V248" s="11" t="s">
        <v>10</v>
      </c>
      <c r="W248" s="49">
        <f>'Kalkulace a Porovnání'!W248</f>
        <v>0</v>
      </c>
      <c r="X248" s="49">
        <f>'Kalkulace a Porovnání'!X248</f>
        <v>0</v>
      </c>
      <c r="Y248" s="49">
        <f>'Kalkulace a Porovnání'!Y248</f>
        <v>0</v>
      </c>
      <c r="Z248" s="49">
        <f>'Kalkulace a Porovnání'!Z248</f>
        <v>0</v>
      </c>
      <c r="AA248" s="49">
        <f ca="1">'Kalkulace a Porovnání'!AA248</f>
        <v>0</v>
      </c>
      <c r="AB248" s="32">
        <f ca="1">'Kalkulace a Porovnání'!AB248</f>
        <v>0</v>
      </c>
      <c r="AC248" s="183"/>
      <c r="AD248" s="547"/>
      <c r="AG248" s="184"/>
      <c r="AH248" s="184"/>
      <c r="AI248" s="342"/>
      <c r="AJ248" s="342"/>
      <c r="AK248" s="547"/>
      <c r="AL248" s="183"/>
    </row>
    <row r="249" spans="2:38" x14ac:dyDescent="0.25">
      <c r="B249" s="9" t="s">
        <v>53</v>
      </c>
      <c r="C249" s="10" t="s">
        <v>54</v>
      </c>
      <c r="D249" s="11" t="s">
        <v>10</v>
      </c>
      <c r="E249" s="49">
        <f>'Kalkulace a Porovnání'!E249</f>
        <v>0</v>
      </c>
      <c r="F249" s="49">
        <f>'Kalkulace a Porovnání'!F249</f>
        <v>0</v>
      </c>
      <c r="G249" s="49">
        <f>'Kalkulace a Porovnání'!G249</f>
        <v>0</v>
      </c>
      <c r="H249" s="32">
        <f>'Kalkulace a Porovnání'!H249</f>
        <v>0</v>
      </c>
      <c r="K249" s="9" t="s">
        <v>53</v>
      </c>
      <c r="L249" s="10" t="s">
        <v>54</v>
      </c>
      <c r="M249" s="11" t="s">
        <v>10</v>
      </c>
      <c r="N249" s="49">
        <f>'Kalkulace a Porovnání'!N249</f>
        <v>0</v>
      </c>
      <c r="O249" s="49">
        <f>'Kalkulace a Porovnání'!O249</f>
        <v>0</v>
      </c>
      <c r="P249" s="49">
        <f>'Kalkulace a Porovnání'!P249</f>
        <v>0</v>
      </c>
      <c r="Q249" s="32">
        <f>'Kalkulace a Porovnání'!Q249</f>
        <v>0</v>
      </c>
      <c r="T249" s="9" t="s">
        <v>53</v>
      </c>
      <c r="U249" s="10" t="s">
        <v>54</v>
      </c>
      <c r="V249" s="11" t="s">
        <v>10</v>
      </c>
      <c r="W249" s="49">
        <f>'Kalkulace a Porovnání'!W249</f>
        <v>0</v>
      </c>
      <c r="X249" s="49">
        <f>'Kalkulace a Porovnání'!X249</f>
        <v>0</v>
      </c>
      <c r="Y249" s="49">
        <f>'Kalkulace a Porovnání'!Y249</f>
        <v>0</v>
      </c>
      <c r="Z249" s="49">
        <f>'Kalkulace a Porovnání'!Z249</f>
        <v>0</v>
      </c>
      <c r="AA249" s="49">
        <f>'Kalkulace a Porovnání'!AA249</f>
        <v>0</v>
      </c>
      <c r="AB249" s="32">
        <f>'Kalkulace a Porovnání'!AB249</f>
        <v>0</v>
      </c>
      <c r="AC249" s="183"/>
      <c r="AD249" s="547"/>
      <c r="AG249" s="184"/>
      <c r="AH249" s="184"/>
      <c r="AI249" s="342"/>
      <c r="AJ249" s="342"/>
      <c r="AK249" s="547"/>
      <c r="AL249" s="183"/>
    </row>
    <row r="250" spans="2:38" x14ac:dyDescent="0.25">
      <c r="B250" s="9" t="s">
        <v>55</v>
      </c>
      <c r="C250" s="10" t="s">
        <v>56</v>
      </c>
      <c r="D250" s="11" t="s">
        <v>10</v>
      </c>
      <c r="E250" s="49">
        <f>'Kalkulace a Porovnání'!E250</f>
        <v>0</v>
      </c>
      <c r="F250" s="49">
        <f>'Kalkulace a Porovnání'!F250</f>
        <v>0</v>
      </c>
      <c r="G250" s="49">
        <f>'Kalkulace a Porovnání'!G250</f>
        <v>0</v>
      </c>
      <c r="H250" s="32">
        <f>'Kalkulace a Porovnání'!H250</f>
        <v>0</v>
      </c>
      <c r="K250" s="9" t="s">
        <v>55</v>
      </c>
      <c r="L250" s="10" t="s">
        <v>56</v>
      </c>
      <c r="M250" s="11" t="s">
        <v>10</v>
      </c>
      <c r="N250" s="49">
        <f>'Kalkulace a Porovnání'!N250</f>
        <v>0</v>
      </c>
      <c r="O250" s="49">
        <f>'Kalkulace a Porovnání'!O250</f>
        <v>0</v>
      </c>
      <c r="P250" s="49">
        <f>'Kalkulace a Porovnání'!P250</f>
        <v>0</v>
      </c>
      <c r="Q250" s="32">
        <f>'Kalkulace a Porovnání'!Q250</f>
        <v>0</v>
      </c>
      <c r="T250" s="9" t="s">
        <v>55</v>
      </c>
      <c r="U250" s="10" t="s">
        <v>56</v>
      </c>
      <c r="V250" s="11" t="s">
        <v>10</v>
      </c>
      <c r="W250" s="49">
        <f>'Kalkulace a Porovnání'!W250</f>
        <v>0</v>
      </c>
      <c r="X250" s="49">
        <f>'Kalkulace a Porovnání'!X250</f>
        <v>0</v>
      </c>
      <c r="Y250" s="49">
        <f>'Kalkulace a Porovnání'!Y250</f>
        <v>0</v>
      </c>
      <c r="Z250" s="49">
        <f>'Kalkulace a Porovnání'!Z250</f>
        <v>0</v>
      </c>
      <c r="AA250" s="49">
        <f>'Kalkulace a Porovnání'!AA250</f>
        <v>0</v>
      </c>
      <c r="AB250" s="32">
        <f>'Kalkulace a Porovnání'!AB250</f>
        <v>0</v>
      </c>
      <c r="AC250" s="183"/>
      <c r="AD250" s="547"/>
      <c r="AG250" s="184"/>
      <c r="AH250" s="184"/>
      <c r="AI250" s="342"/>
      <c r="AJ250" s="342"/>
      <c r="AK250" s="547"/>
      <c r="AL250" s="183"/>
    </row>
    <row r="251" spans="2:38" x14ac:dyDescent="0.25">
      <c r="B251" s="9" t="s">
        <v>57</v>
      </c>
      <c r="C251" s="10" t="s">
        <v>58</v>
      </c>
      <c r="D251" s="11" t="s">
        <v>10</v>
      </c>
      <c r="E251" s="46">
        <f>'Kalkulace a Porovnání'!E251</f>
        <v>0</v>
      </c>
      <c r="F251" s="46">
        <f>'Kalkulace a Porovnání'!F251</f>
        <v>0</v>
      </c>
      <c r="G251" s="46">
        <f>'Kalkulace a Porovnání'!G251</f>
        <v>0</v>
      </c>
      <c r="H251" s="98">
        <f ca="1">'Kalkulace a Porovnání'!H251</f>
        <v>0.43999999999999995</v>
      </c>
      <c r="K251" s="9" t="s">
        <v>57</v>
      </c>
      <c r="L251" s="10" t="s">
        <v>58</v>
      </c>
      <c r="M251" s="11" t="s">
        <v>10</v>
      </c>
      <c r="N251" s="46">
        <f>'Kalkulace a Porovnání'!N251</f>
        <v>0</v>
      </c>
      <c r="O251" s="46">
        <f>'Kalkulace a Porovnání'!O251</f>
        <v>0</v>
      </c>
      <c r="P251" s="46">
        <f>'Kalkulace a Porovnání'!P251</f>
        <v>0</v>
      </c>
      <c r="Q251" s="98">
        <f>'Kalkulace a Porovnání'!Q251</f>
        <v>0</v>
      </c>
      <c r="T251" s="9" t="s">
        <v>57</v>
      </c>
      <c r="U251" s="10" t="s">
        <v>58</v>
      </c>
      <c r="V251" s="11" t="s">
        <v>10</v>
      </c>
      <c r="W251" s="46">
        <f>'Kalkulace a Porovnání'!W251</f>
        <v>0</v>
      </c>
      <c r="X251" s="46">
        <f>'Kalkulace a Porovnání'!X251</f>
        <v>0</v>
      </c>
      <c r="Y251" s="46">
        <f>'Kalkulace a Porovnání'!Y251</f>
        <v>0</v>
      </c>
      <c r="Z251" s="46">
        <f>'Kalkulace a Porovnání'!Z251</f>
        <v>0</v>
      </c>
      <c r="AA251" s="46">
        <f ca="1">'Kalkulace a Porovnání'!AA251</f>
        <v>0.43999999999999995</v>
      </c>
      <c r="AB251" s="98">
        <f ca="1">'Kalkulace a Porovnání'!AB251</f>
        <v>-0.43999999999999995</v>
      </c>
      <c r="AC251" s="183"/>
      <c r="AD251" s="547"/>
      <c r="AG251" s="184"/>
      <c r="AH251" s="184"/>
      <c r="AI251" s="342"/>
      <c r="AJ251" s="342"/>
      <c r="AK251" s="547"/>
      <c r="AL251" s="183"/>
    </row>
    <row r="252" spans="2:38" x14ac:dyDescent="0.25">
      <c r="B252" s="12" t="s">
        <v>59</v>
      </c>
      <c r="C252" s="13" t="s">
        <v>112</v>
      </c>
      <c r="D252" s="3" t="s">
        <v>10</v>
      </c>
      <c r="E252" s="437">
        <f>'Kalkulace a Porovnání'!E252</f>
        <v>0</v>
      </c>
      <c r="F252" s="437">
        <f>'Kalkulace a Porovnání'!F252</f>
        <v>0</v>
      </c>
      <c r="G252" s="437">
        <f>'Kalkulace a Porovnání'!G252</f>
        <v>0</v>
      </c>
      <c r="H252" s="438">
        <f>'Kalkulace a Porovnání'!H252</f>
        <v>0</v>
      </c>
      <c r="K252" s="12" t="s">
        <v>59</v>
      </c>
      <c r="L252" s="13" t="s">
        <v>112</v>
      </c>
      <c r="M252" s="3" t="s">
        <v>10</v>
      </c>
      <c r="N252" s="437">
        <f>'Kalkulace a Porovnání'!N252</f>
        <v>0</v>
      </c>
      <c r="O252" s="437">
        <f>'Kalkulace a Porovnání'!O252</f>
        <v>0</v>
      </c>
      <c r="P252" s="437">
        <f>'Kalkulace a Porovnání'!P252</f>
        <v>0</v>
      </c>
      <c r="Q252" s="438">
        <f>'Kalkulace a Porovnání'!Q252</f>
        <v>0</v>
      </c>
      <c r="T252" s="12" t="s">
        <v>59</v>
      </c>
      <c r="U252" s="13" t="s">
        <v>112</v>
      </c>
      <c r="V252" s="3" t="s">
        <v>10</v>
      </c>
      <c r="W252" s="437">
        <f>'Kalkulace a Porovnání'!W252</f>
        <v>0</v>
      </c>
      <c r="X252" s="437">
        <f>'Kalkulace a Porovnání'!X252</f>
        <v>0</v>
      </c>
      <c r="Y252" s="437">
        <f>'Kalkulace a Porovnání'!Y252</f>
        <v>0</v>
      </c>
      <c r="Z252" s="437">
        <f>'Kalkulace a Porovnání'!Z252</f>
        <v>0</v>
      </c>
      <c r="AA252" s="437">
        <f>'Kalkulace a Porovnání'!AA252</f>
        <v>0</v>
      </c>
      <c r="AB252" s="438">
        <f>'Kalkulace a Porovnání'!AB252</f>
        <v>0</v>
      </c>
      <c r="AC252" s="183"/>
      <c r="AD252" s="547"/>
      <c r="AG252" s="973"/>
      <c r="AH252" s="973"/>
      <c r="AI252" s="342"/>
      <c r="AJ252" s="342"/>
      <c r="AK252" s="547"/>
      <c r="AL252" s="183"/>
    </row>
    <row r="253" spans="2:38" x14ac:dyDescent="0.25">
      <c r="B253" s="12" t="s">
        <v>60</v>
      </c>
      <c r="C253" s="13" t="s">
        <v>113</v>
      </c>
      <c r="D253" s="3" t="s">
        <v>10</v>
      </c>
      <c r="E253" s="437">
        <f>'Kalkulace a Porovnání'!E253</f>
        <v>0</v>
      </c>
      <c r="F253" s="437">
        <f>'Kalkulace a Porovnání'!F253</f>
        <v>0</v>
      </c>
      <c r="G253" s="437">
        <f>'Kalkulace a Porovnání'!G253</f>
        <v>0</v>
      </c>
      <c r="H253" s="438">
        <f>'Kalkulace a Porovnání'!H253</f>
        <v>0</v>
      </c>
      <c r="K253" s="12" t="s">
        <v>60</v>
      </c>
      <c r="L253" s="13" t="s">
        <v>113</v>
      </c>
      <c r="M253" s="3" t="s">
        <v>10</v>
      </c>
      <c r="N253" s="437">
        <f>'Kalkulace a Porovnání'!N253</f>
        <v>0</v>
      </c>
      <c r="O253" s="437">
        <f>'Kalkulace a Porovnání'!O253</f>
        <v>0</v>
      </c>
      <c r="P253" s="437">
        <f>'Kalkulace a Porovnání'!P253</f>
        <v>0</v>
      </c>
      <c r="Q253" s="438">
        <f>'Kalkulace a Porovnání'!Q253</f>
        <v>0</v>
      </c>
      <c r="T253" s="12" t="s">
        <v>60</v>
      </c>
      <c r="U253" s="13" t="s">
        <v>113</v>
      </c>
      <c r="V253" s="3" t="s">
        <v>10</v>
      </c>
      <c r="W253" s="437">
        <f>'Kalkulace a Porovnání'!W253</f>
        <v>0</v>
      </c>
      <c r="X253" s="437">
        <f>'Kalkulace a Porovnání'!X253</f>
        <v>0</v>
      </c>
      <c r="Y253" s="437">
        <f>'Kalkulace a Porovnání'!Y253</f>
        <v>0</v>
      </c>
      <c r="Z253" s="437">
        <f>'Kalkulace a Porovnání'!Z253</f>
        <v>0</v>
      </c>
      <c r="AA253" s="437">
        <f>'Kalkulace a Porovnání'!AA253</f>
        <v>0</v>
      </c>
      <c r="AB253" s="438">
        <f>'Kalkulace a Porovnání'!AB253</f>
        <v>0</v>
      </c>
      <c r="AC253" s="183"/>
      <c r="AD253" s="547"/>
      <c r="AG253" s="973"/>
      <c r="AH253" s="973"/>
      <c r="AI253" s="342"/>
      <c r="AJ253" s="342"/>
      <c r="AK253" s="547"/>
      <c r="AL253" s="183"/>
    </row>
    <row r="254" spans="2:38" x14ac:dyDescent="0.25">
      <c r="B254" s="12" t="s">
        <v>61</v>
      </c>
      <c r="C254" s="13" t="s">
        <v>62</v>
      </c>
      <c r="D254" s="3" t="s">
        <v>63</v>
      </c>
      <c r="E254" s="439">
        <f>'Kalkulace a Porovnání'!E254</f>
        <v>0</v>
      </c>
      <c r="F254" s="439">
        <f>'Kalkulace a Porovnání'!F254</f>
        <v>0</v>
      </c>
      <c r="G254" s="439">
        <f>'Kalkulace a Porovnání'!G254</f>
        <v>0</v>
      </c>
      <c r="H254" s="440">
        <f>'Kalkulace a Porovnání'!H254</f>
        <v>0</v>
      </c>
      <c r="K254" s="12" t="s">
        <v>61</v>
      </c>
      <c r="L254" s="13" t="s">
        <v>62</v>
      </c>
      <c r="M254" s="3" t="s">
        <v>63</v>
      </c>
      <c r="N254" s="439">
        <f>'Kalkulace a Porovnání'!N254</f>
        <v>0</v>
      </c>
      <c r="O254" s="439">
        <f>'Kalkulace a Porovnání'!O254</f>
        <v>0</v>
      </c>
      <c r="P254" s="439">
        <f>'Kalkulace a Porovnání'!P254</f>
        <v>0</v>
      </c>
      <c r="Q254" s="440">
        <f>'Kalkulace a Porovnání'!Q254</f>
        <v>0</v>
      </c>
      <c r="T254" s="12" t="s">
        <v>61</v>
      </c>
      <c r="U254" s="13" t="s">
        <v>62</v>
      </c>
      <c r="V254" s="3" t="s">
        <v>63</v>
      </c>
      <c r="W254" s="439">
        <f>'Kalkulace a Porovnání'!W254</f>
        <v>0</v>
      </c>
      <c r="X254" s="439">
        <f>'Kalkulace a Porovnání'!X254</f>
        <v>0</v>
      </c>
      <c r="Y254" s="439">
        <f>'Kalkulace a Porovnání'!Y254</f>
        <v>0</v>
      </c>
      <c r="Z254" s="439">
        <f>'Kalkulace a Porovnání'!Z254</f>
        <v>0</v>
      </c>
      <c r="AA254" s="439">
        <f>'Kalkulace a Porovnání'!AA254</f>
        <v>0</v>
      </c>
      <c r="AB254" s="440">
        <f>'Kalkulace a Porovnání'!AB254</f>
        <v>0</v>
      </c>
      <c r="AC254" s="183"/>
      <c r="AD254" s="547"/>
      <c r="AG254" s="972"/>
      <c r="AH254" s="972"/>
      <c r="AI254" s="342"/>
      <c r="AJ254" s="342"/>
      <c r="AK254" s="547"/>
      <c r="AL254" s="183"/>
    </row>
    <row r="255" spans="2:38" x14ac:dyDescent="0.25">
      <c r="B255" s="12" t="s">
        <v>64</v>
      </c>
      <c r="C255" s="13" t="s">
        <v>65</v>
      </c>
      <c r="D255" s="3" t="s">
        <v>66</v>
      </c>
      <c r="E255" s="49">
        <f>'Kalkulace a Porovnání'!E255</f>
        <v>0</v>
      </c>
      <c r="F255" s="49">
        <f>'Kalkulace a Porovnání'!F255</f>
        <v>0</v>
      </c>
      <c r="G255" s="49">
        <f>'Kalkulace a Porovnání'!G255</f>
        <v>0</v>
      </c>
      <c r="H255" s="32">
        <f>'Kalkulace a Porovnání'!H255</f>
        <v>0</v>
      </c>
      <c r="K255" s="12" t="s">
        <v>64</v>
      </c>
      <c r="L255" s="13" t="s">
        <v>65</v>
      </c>
      <c r="M255" s="3" t="s">
        <v>66</v>
      </c>
      <c r="N255" s="49">
        <f>'Kalkulace a Porovnání'!N255</f>
        <v>0</v>
      </c>
      <c r="O255" s="49">
        <f>'Kalkulace a Porovnání'!O255</f>
        <v>0</v>
      </c>
      <c r="P255" s="49">
        <f>'Kalkulace a Porovnání'!P255</f>
        <v>0</v>
      </c>
      <c r="Q255" s="32">
        <f>'Kalkulace a Porovnání'!Q255</f>
        <v>0</v>
      </c>
      <c r="T255" s="12" t="s">
        <v>64</v>
      </c>
      <c r="U255" s="13" t="s">
        <v>65</v>
      </c>
      <c r="V255" s="3" t="s">
        <v>66</v>
      </c>
      <c r="W255" s="49">
        <f>'Kalkulace a Porovnání'!W255</f>
        <v>0</v>
      </c>
      <c r="X255" s="49">
        <f>'Kalkulace a Porovnání'!X255</f>
        <v>0</v>
      </c>
      <c r="Y255" s="49">
        <f>'Kalkulace a Porovnání'!Y255</f>
        <v>0</v>
      </c>
      <c r="Z255" s="49">
        <f>'Kalkulace a Porovnání'!Z255</f>
        <v>0</v>
      </c>
      <c r="AA255" s="49">
        <f>'Kalkulace a Porovnání'!AA255</f>
        <v>0</v>
      </c>
      <c r="AB255" s="32">
        <f>'Kalkulace a Porovnání'!AB255</f>
        <v>0</v>
      </c>
      <c r="AC255" s="183"/>
      <c r="AD255" s="547"/>
      <c r="AG255" s="972"/>
      <c r="AH255" s="972"/>
      <c r="AI255" s="342"/>
      <c r="AJ255" s="342"/>
      <c r="AK255" s="547"/>
      <c r="AL255" s="183"/>
    </row>
    <row r="256" spans="2:38" x14ac:dyDescent="0.25">
      <c r="B256" s="12" t="s">
        <v>67</v>
      </c>
      <c r="C256" s="13" t="s">
        <v>68</v>
      </c>
      <c r="D256" s="3" t="s">
        <v>66</v>
      </c>
      <c r="E256" s="49">
        <f>'Kalkulace a Porovnání'!E256</f>
        <v>0</v>
      </c>
      <c r="F256" s="49">
        <f>'Kalkulace a Porovnání'!F256</f>
        <v>0</v>
      </c>
      <c r="G256" s="49">
        <f>'Kalkulace a Porovnání'!G256</f>
        <v>0</v>
      </c>
      <c r="H256" s="32">
        <f>'Kalkulace a Porovnání'!H256</f>
        <v>0</v>
      </c>
      <c r="K256" s="12" t="s">
        <v>67</v>
      </c>
      <c r="L256" s="13" t="s">
        <v>68</v>
      </c>
      <c r="M256" s="3" t="s">
        <v>66</v>
      </c>
      <c r="N256" s="49">
        <f>'Kalkulace a Porovnání'!N256</f>
        <v>0</v>
      </c>
      <c r="O256" s="49">
        <f>'Kalkulace a Porovnání'!O256</f>
        <v>0</v>
      </c>
      <c r="P256" s="49">
        <f>'Kalkulace a Porovnání'!P256</f>
        <v>0</v>
      </c>
      <c r="Q256" s="32">
        <f>'Kalkulace a Porovnání'!Q256</f>
        <v>0</v>
      </c>
      <c r="T256" s="12" t="s">
        <v>67</v>
      </c>
      <c r="U256" s="13" t="s">
        <v>68</v>
      </c>
      <c r="V256" s="3" t="s">
        <v>66</v>
      </c>
      <c r="W256" s="49">
        <f>'Kalkulace a Porovnání'!W256</f>
        <v>0</v>
      </c>
      <c r="X256" s="49">
        <f>'Kalkulace a Porovnání'!X256</f>
        <v>0</v>
      </c>
      <c r="Y256" s="49">
        <f>'Kalkulace a Porovnání'!Y256</f>
        <v>0</v>
      </c>
      <c r="Z256" s="49">
        <f>'Kalkulace a Porovnání'!Z256</f>
        <v>0</v>
      </c>
      <c r="AA256" s="49">
        <f>'Kalkulace a Porovnání'!AA256</f>
        <v>0</v>
      </c>
      <c r="AB256" s="32">
        <f>'Kalkulace a Porovnání'!AB256</f>
        <v>0</v>
      </c>
      <c r="AC256" s="183"/>
      <c r="AD256" s="547"/>
      <c r="AG256" s="184"/>
      <c r="AH256" s="184"/>
      <c r="AI256" s="342"/>
      <c r="AJ256" s="342"/>
      <c r="AK256" s="547"/>
      <c r="AL256" s="183"/>
    </row>
    <row r="257" spans="2:38" x14ac:dyDescent="0.25">
      <c r="B257" s="12" t="s">
        <v>69</v>
      </c>
      <c r="C257" s="13" t="s">
        <v>70</v>
      </c>
      <c r="D257" s="3" t="s">
        <v>66</v>
      </c>
      <c r="E257" s="49">
        <f>'Kalkulace a Porovnání'!E257</f>
        <v>0</v>
      </c>
      <c r="F257" s="49">
        <f>'Kalkulace a Porovnání'!F257</f>
        <v>0</v>
      </c>
      <c r="G257" s="49">
        <f>'Kalkulace a Porovnání'!G257</f>
        <v>0</v>
      </c>
      <c r="H257" s="32">
        <f>'Kalkulace a Porovnání'!H257</f>
        <v>1.4E-2</v>
      </c>
      <c r="K257" s="12" t="s">
        <v>69</v>
      </c>
      <c r="L257" s="13" t="s">
        <v>70</v>
      </c>
      <c r="M257" s="3" t="s">
        <v>66</v>
      </c>
      <c r="N257" s="49">
        <f>'Kalkulace a Porovnání'!N257</f>
        <v>0</v>
      </c>
      <c r="O257" s="49">
        <f>'Kalkulace a Porovnání'!O257</f>
        <v>0</v>
      </c>
      <c r="P257" s="49">
        <f>'Kalkulace a Porovnání'!P257</f>
        <v>0</v>
      </c>
      <c r="Q257" s="32">
        <f>'Kalkulace a Porovnání'!Q257</f>
        <v>0</v>
      </c>
      <c r="T257" s="12" t="s">
        <v>69</v>
      </c>
      <c r="U257" s="13" t="s">
        <v>70</v>
      </c>
      <c r="V257" s="3" t="s">
        <v>66</v>
      </c>
      <c r="W257" s="49">
        <f>'Kalkulace a Porovnání'!W257</f>
        <v>0</v>
      </c>
      <c r="X257" s="49">
        <f>'Kalkulace a Porovnání'!X257</f>
        <v>0</v>
      </c>
      <c r="Y257" s="49">
        <f>'Kalkulace a Porovnání'!Y257</f>
        <v>0</v>
      </c>
      <c r="Z257" s="49">
        <f>'Kalkulace a Porovnání'!Z257</f>
        <v>0</v>
      </c>
      <c r="AA257" s="49">
        <f>'Kalkulace a Porovnání'!AA257</f>
        <v>1.4E-2</v>
      </c>
      <c r="AB257" s="32">
        <f>'Kalkulace a Porovnání'!AB257</f>
        <v>-1.4E-2</v>
      </c>
      <c r="AC257" s="183"/>
      <c r="AD257" s="547"/>
      <c r="AG257" s="549"/>
      <c r="AH257" s="549"/>
      <c r="AI257" s="342"/>
      <c r="AJ257" s="342"/>
      <c r="AK257" s="547"/>
      <c r="AL257" s="183"/>
    </row>
    <row r="258" spans="2:38" x14ac:dyDescent="0.25">
      <c r="B258" s="12" t="s">
        <v>71</v>
      </c>
      <c r="C258" s="13" t="s">
        <v>68</v>
      </c>
      <c r="D258" s="3" t="s">
        <v>66</v>
      </c>
      <c r="E258" s="49">
        <f>'Kalkulace a Porovnání'!E258</f>
        <v>0</v>
      </c>
      <c r="F258" s="49">
        <f>'Kalkulace a Porovnání'!F258</f>
        <v>0</v>
      </c>
      <c r="G258" s="49">
        <f>'Kalkulace a Porovnání'!G258</f>
        <v>0</v>
      </c>
      <c r="H258" s="32">
        <f>'Kalkulace a Porovnání'!H258</f>
        <v>7.4190000000000002E-3</v>
      </c>
      <c r="K258" s="12" t="s">
        <v>71</v>
      </c>
      <c r="L258" s="13" t="s">
        <v>68</v>
      </c>
      <c r="M258" s="3" t="s">
        <v>66</v>
      </c>
      <c r="N258" s="49">
        <f>'Kalkulace a Porovnání'!N258</f>
        <v>0</v>
      </c>
      <c r="O258" s="49">
        <f>'Kalkulace a Porovnání'!O258</f>
        <v>0</v>
      </c>
      <c r="P258" s="49">
        <f>'Kalkulace a Porovnání'!P258</f>
        <v>0</v>
      </c>
      <c r="Q258" s="32">
        <f>'Kalkulace a Porovnání'!Q258</f>
        <v>0</v>
      </c>
      <c r="T258" s="12" t="s">
        <v>71</v>
      </c>
      <c r="U258" s="13" t="s">
        <v>68</v>
      </c>
      <c r="V258" s="3" t="s">
        <v>66</v>
      </c>
      <c r="W258" s="49">
        <f>'Kalkulace a Porovnání'!W258</f>
        <v>0</v>
      </c>
      <c r="X258" s="49">
        <f>'Kalkulace a Porovnání'!X258</f>
        <v>0</v>
      </c>
      <c r="Y258" s="49">
        <f>'Kalkulace a Porovnání'!Y258</f>
        <v>0</v>
      </c>
      <c r="Z258" s="49">
        <f>'Kalkulace a Porovnání'!Z258</f>
        <v>0</v>
      </c>
      <c r="AA258" s="49">
        <f>'Kalkulace a Porovnání'!AA258</f>
        <v>7.4190000000000002E-3</v>
      </c>
      <c r="AB258" s="32">
        <f>'Kalkulace a Porovnání'!AB258</f>
        <v>-7.4190000000000002E-3</v>
      </c>
      <c r="AC258" s="183"/>
      <c r="AD258" s="547"/>
      <c r="AG258" s="546"/>
      <c r="AH258" s="546"/>
      <c r="AI258" s="342"/>
      <c r="AJ258" s="342"/>
      <c r="AK258" s="547"/>
      <c r="AL258" s="183"/>
    </row>
    <row r="259" spans="2:38" x14ac:dyDescent="0.25">
      <c r="B259" s="12" t="s">
        <v>72</v>
      </c>
      <c r="C259" s="13" t="s">
        <v>73</v>
      </c>
      <c r="D259" s="3" t="s">
        <v>66</v>
      </c>
      <c r="E259" s="49">
        <f>'Kalkulace a Porovnání'!E259</f>
        <v>0</v>
      </c>
      <c r="F259" s="49">
        <f>'Kalkulace a Porovnání'!F259</f>
        <v>0</v>
      </c>
      <c r="G259" s="49">
        <f>'Kalkulace a Porovnání'!G259</f>
        <v>0</v>
      </c>
      <c r="H259" s="32">
        <f>'Kalkulace a Porovnání'!H259</f>
        <v>0</v>
      </c>
      <c r="K259" s="12" t="s">
        <v>72</v>
      </c>
      <c r="L259" s="13" t="s">
        <v>73</v>
      </c>
      <c r="M259" s="3" t="s">
        <v>66</v>
      </c>
      <c r="N259" s="49">
        <f>'Kalkulace a Porovnání'!N259</f>
        <v>0</v>
      </c>
      <c r="O259" s="49">
        <f>'Kalkulace a Porovnání'!O259</f>
        <v>0</v>
      </c>
      <c r="P259" s="49">
        <f>'Kalkulace a Porovnání'!P259</f>
        <v>0</v>
      </c>
      <c r="Q259" s="32">
        <f>'Kalkulace a Porovnání'!Q259</f>
        <v>0</v>
      </c>
      <c r="T259" s="12" t="s">
        <v>72</v>
      </c>
      <c r="U259" s="13" t="s">
        <v>73</v>
      </c>
      <c r="V259" s="3" t="s">
        <v>66</v>
      </c>
      <c r="W259" s="49">
        <f>'Kalkulace a Porovnání'!W259</f>
        <v>0</v>
      </c>
      <c r="X259" s="49">
        <f>'Kalkulace a Porovnání'!X259</f>
        <v>0</v>
      </c>
      <c r="Y259" s="49">
        <f>'Kalkulace a Porovnání'!Y259</f>
        <v>0</v>
      </c>
      <c r="Z259" s="49">
        <f>'Kalkulace a Porovnání'!Z259</f>
        <v>0</v>
      </c>
      <c r="AA259" s="49">
        <f>'Kalkulace a Porovnání'!AA259</f>
        <v>0</v>
      </c>
      <c r="AB259" s="32">
        <f>'Kalkulace a Porovnání'!AB259</f>
        <v>0</v>
      </c>
      <c r="AC259" s="183"/>
      <c r="AD259" s="547"/>
      <c r="AG259" s="184"/>
      <c r="AH259" s="184"/>
      <c r="AI259" s="549"/>
      <c r="AJ259" s="549"/>
      <c r="AK259" s="547"/>
      <c r="AL259" s="183"/>
    </row>
    <row r="260" spans="2:38" x14ac:dyDescent="0.25">
      <c r="B260" s="12" t="s">
        <v>74</v>
      </c>
      <c r="C260" s="13" t="s">
        <v>75</v>
      </c>
      <c r="D260" s="3" t="s">
        <v>66</v>
      </c>
      <c r="E260" s="49">
        <f>'Kalkulace a Porovnání'!E260</f>
        <v>0</v>
      </c>
      <c r="F260" s="49">
        <f>'Kalkulace a Porovnání'!F260</f>
        <v>0</v>
      </c>
      <c r="G260" s="49">
        <f>'Kalkulace a Porovnání'!G260</f>
        <v>0</v>
      </c>
      <c r="H260" s="32">
        <f>'Kalkulace a Porovnání'!H260</f>
        <v>0</v>
      </c>
      <c r="K260" s="12" t="s">
        <v>74</v>
      </c>
      <c r="L260" s="13" t="s">
        <v>75</v>
      </c>
      <c r="M260" s="3" t="s">
        <v>66</v>
      </c>
      <c r="N260" s="49">
        <f>'Kalkulace a Porovnání'!N260</f>
        <v>0</v>
      </c>
      <c r="O260" s="49">
        <f>'Kalkulace a Porovnání'!O260</f>
        <v>0</v>
      </c>
      <c r="P260" s="49">
        <f>'Kalkulace a Porovnání'!P260</f>
        <v>0</v>
      </c>
      <c r="Q260" s="32">
        <f>'Kalkulace a Porovnání'!Q260</f>
        <v>0</v>
      </c>
      <c r="T260" s="12" t="s">
        <v>74</v>
      </c>
      <c r="U260" s="13" t="s">
        <v>75</v>
      </c>
      <c r="V260" s="3" t="s">
        <v>66</v>
      </c>
      <c r="W260" s="49">
        <f>'Kalkulace a Porovnání'!W260</f>
        <v>0</v>
      </c>
      <c r="X260" s="49">
        <f>'Kalkulace a Porovnání'!X260</f>
        <v>0</v>
      </c>
      <c r="Y260" s="49">
        <f>'Kalkulace a Porovnání'!Y260</f>
        <v>0</v>
      </c>
      <c r="Z260" s="49">
        <f>'Kalkulace a Porovnání'!Z260</f>
        <v>0</v>
      </c>
      <c r="AA260" s="49">
        <f>'Kalkulace a Porovnání'!AA260</f>
        <v>0</v>
      </c>
      <c r="AB260" s="32">
        <f>'Kalkulace a Porovnání'!AB260</f>
        <v>0</v>
      </c>
      <c r="AC260" s="183"/>
      <c r="AD260" s="547"/>
      <c r="AG260" s="184"/>
      <c r="AH260" s="184"/>
      <c r="AI260" s="549"/>
      <c r="AJ260" s="549"/>
      <c r="AK260" s="547"/>
      <c r="AL260" s="183"/>
    </row>
    <row r="261" spans="2:38" x14ac:dyDescent="0.25">
      <c r="B261" s="12" t="s">
        <v>76</v>
      </c>
      <c r="C261" s="13" t="s">
        <v>77</v>
      </c>
      <c r="D261" s="3" t="s">
        <v>66</v>
      </c>
      <c r="E261" s="49">
        <f>'Kalkulace a Porovnání'!E261</f>
        <v>0</v>
      </c>
      <c r="F261" s="49">
        <f>'Kalkulace a Porovnání'!F261</f>
        <v>0</v>
      </c>
      <c r="G261" s="49">
        <f>'Kalkulace a Porovnání'!G261</f>
        <v>0</v>
      </c>
      <c r="H261" s="32">
        <f>'Kalkulace a Porovnání'!H261</f>
        <v>0</v>
      </c>
      <c r="K261" s="12" t="s">
        <v>76</v>
      </c>
      <c r="L261" s="13" t="s">
        <v>77</v>
      </c>
      <c r="M261" s="3" t="s">
        <v>66</v>
      </c>
      <c r="N261" s="49">
        <f>'Kalkulace a Porovnání'!N261</f>
        <v>0</v>
      </c>
      <c r="O261" s="49">
        <f>'Kalkulace a Porovnání'!O261</f>
        <v>0</v>
      </c>
      <c r="P261" s="49">
        <f>'Kalkulace a Porovnání'!P261</f>
        <v>0</v>
      </c>
      <c r="Q261" s="32">
        <f>'Kalkulace a Porovnání'!Q261</f>
        <v>0</v>
      </c>
      <c r="T261" s="12" t="s">
        <v>76</v>
      </c>
      <c r="U261" s="13" t="s">
        <v>77</v>
      </c>
      <c r="V261" s="3" t="s">
        <v>66</v>
      </c>
      <c r="W261" s="49">
        <f>'Kalkulace a Porovnání'!W261</f>
        <v>0</v>
      </c>
      <c r="X261" s="49">
        <f>'Kalkulace a Porovnání'!X261</f>
        <v>0</v>
      </c>
      <c r="Y261" s="49">
        <f>'Kalkulace a Porovnání'!Y261</f>
        <v>0</v>
      </c>
      <c r="Z261" s="49">
        <f>'Kalkulace a Porovnání'!Z261</f>
        <v>0</v>
      </c>
      <c r="AA261" s="49">
        <f>'Kalkulace a Porovnání'!AA261</f>
        <v>0</v>
      </c>
      <c r="AB261" s="32">
        <f>'Kalkulace a Porovnání'!AB261</f>
        <v>0</v>
      </c>
      <c r="AC261" s="183"/>
      <c r="AD261" s="547"/>
      <c r="AG261" s="184"/>
      <c r="AH261" s="184"/>
      <c r="AI261" s="549"/>
      <c r="AJ261" s="549"/>
      <c r="AK261" s="547"/>
      <c r="AL261" s="183"/>
    </row>
    <row r="262" spans="2:38" x14ac:dyDescent="0.25">
      <c r="B262" s="12" t="s">
        <v>78</v>
      </c>
      <c r="C262" s="13" t="s">
        <v>79</v>
      </c>
      <c r="D262" s="3" t="s">
        <v>66</v>
      </c>
      <c r="E262" s="49">
        <f>'Kalkulace a Porovnání'!E262</f>
        <v>0</v>
      </c>
      <c r="F262" s="49">
        <f>'Kalkulace a Porovnání'!F262</f>
        <v>0</v>
      </c>
      <c r="G262" s="49">
        <f>'Kalkulace a Porovnání'!G262</f>
        <v>0</v>
      </c>
      <c r="H262" s="32">
        <f>'Kalkulace a Porovnání'!H262</f>
        <v>1.4E-2</v>
      </c>
      <c r="K262" s="12" t="s">
        <v>78</v>
      </c>
      <c r="L262" s="13" t="s">
        <v>79</v>
      </c>
      <c r="M262" s="3" t="s">
        <v>66</v>
      </c>
      <c r="N262" s="49">
        <f>'Kalkulace a Porovnání'!N262</f>
        <v>0</v>
      </c>
      <c r="O262" s="49">
        <f>'Kalkulace a Porovnání'!O262</f>
        <v>0</v>
      </c>
      <c r="P262" s="49">
        <f>'Kalkulace a Porovnání'!P262</f>
        <v>0</v>
      </c>
      <c r="Q262" s="32">
        <f>'Kalkulace a Porovnání'!Q262</f>
        <v>0</v>
      </c>
      <c r="T262" s="12" t="s">
        <v>78</v>
      </c>
      <c r="U262" s="13" t="s">
        <v>79</v>
      </c>
      <c r="V262" s="3" t="s">
        <v>66</v>
      </c>
      <c r="W262" s="49">
        <f>'Kalkulace a Porovnání'!W262</f>
        <v>0</v>
      </c>
      <c r="X262" s="49">
        <f>'Kalkulace a Porovnání'!X262</f>
        <v>0</v>
      </c>
      <c r="Y262" s="49">
        <f>'Kalkulace a Porovnání'!Y262</f>
        <v>0</v>
      </c>
      <c r="Z262" s="49">
        <f>'Kalkulace a Porovnání'!Z262</f>
        <v>0</v>
      </c>
      <c r="AA262" s="49">
        <f>'Kalkulace a Porovnání'!AA262</f>
        <v>1.4E-2</v>
      </c>
      <c r="AB262" s="32">
        <f>'Kalkulace a Porovnání'!AB262</f>
        <v>-1.4E-2</v>
      </c>
      <c r="AC262" s="183"/>
      <c r="AD262" s="547"/>
      <c r="AG262" s="421"/>
      <c r="AH262" s="421"/>
      <c r="AI262" s="342"/>
      <c r="AJ262" s="342"/>
      <c r="AK262" s="547"/>
      <c r="AL262" s="183"/>
    </row>
    <row r="263" spans="2:38" x14ac:dyDescent="0.25">
      <c r="B263" s="1"/>
      <c r="C263" s="1"/>
      <c r="D263" s="1"/>
      <c r="E263" s="1"/>
      <c r="F263" s="1"/>
      <c r="G263" s="1"/>
      <c r="H263" s="1"/>
      <c r="K263" s="1"/>
      <c r="L263" s="1"/>
      <c r="M263" s="1"/>
      <c r="N263" s="1"/>
      <c r="O263" s="1"/>
      <c r="P263" s="1"/>
      <c r="Q263" s="1"/>
      <c r="T263" s="1"/>
      <c r="U263" s="1"/>
      <c r="V263" s="1"/>
      <c r="W263" s="1"/>
      <c r="X263" s="1"/>
      <c r="Y263" s="1"/>
      <c r="Z263" s="1"/>
      <c r="AA263" s="1"/>
      <c r="AB263" s="1"/>
      <c r="AC263" s="183"/>
      <c r="AD263" s="547"/>
      <c r="AG263" s="547"/>
      <c r="AH263" s="547"/>
      <c r="AI263" s="547"/>
      <c r="AJ263" s="547"/>
      <c r="AK263" s="547"/>
      <c r="AL263" s="183"/>
    </row>
    <row r="264" spans="2:38" x14ac:dyDescent="0.25">
      <c r="B264" s="932" t="s">
        <v>5</v>
      </c>
      <c r="C264" s="721" t="s">
        <v>80</v>
      </c>
      <c r="D264" s="722"/>
      <c r="E264" s="723"/>
      <c r="F264" s="724"/>
      <c r="G264" s="722"/>
      <c r="H264" s="725"/>
      <c r="K264" s="932" t="s">
        <v>5</v>
      </c>
      <c r="L264" s="721" t="s">
        <v>80</v>
      </c>
      <c r="M264" s="722"/>
      <c r="N264" s="723"/>
      <c r="O264" s="724"/>
      <c r="P264" s="722"/>
      <c r="Q264" s="725"/>
      <c r="T264" s="771" t="s">
        <v>5</v>
      </c>
      <c r="U264" s="721" t="s">
        <v>80</v>
      </c>
      <c r="V264" s="722"/>
      <c r="W264" s="723"/>
      <c r="X264" s="723"/>
      <c r="Y264" s="724"/>
      <c r="Z264" s="722"/>
      <c r="AA264" s="722"/>
      <c r="AB264" s="725"/>
      <c r="AC264" s="183"/>
      <c r="AD264" s="547"/>
      <c r="AG264" s="547"/>
      <c r="AH264" s="547"/>
      <c r="AI264" s="547"/>
      <c r="AJ264" s="547"/>
      <c r="AK264" s="547"/>
      <c r="AL264" s="183"/>
    </row>
    <row r="265" spans="2:38" x14ac:dyDescent="0.25">
      <c r="B265" s="930"/>
      <c r="C265" s="932" t="s">
        <v>81</v>
      </c>
      <c r="D265" s="929" t="s">
        <v>173</v>
      </c>
      <c r="E265" s="874" t="s">
        <v>118</v>
      </c>
      <c r="F265" s="937"/>
      <c r="G265" s="26" t="s">
        <v>3</v>
      </c>
      <c r="H265" s="23" t="s">
        <v>4</v>
      </c>
      <c r="K265" s="930"/>
      <c r="L265" s="5" t="s">
        <v>81</v>
      </c>
      <c r="M265" s="929" t="s">
        <v>173</v>
      </c>
      <c r="N265" s="874" t="s">
        <v>118</v>
      </c>
      <c r="O265" s="937"/>
      <c r="P265" s="26" t="s">
        <v>3</v>
      </c>
      <c r="Q265" s="23" t="s">
        <v>4</v>
      </c>
      <c r="T265" s="934"/>
      <c r="U265" s="932" t="s">
        <v>81</v>
      </c>
      <c r="V265" s="929" t="s">
        <v>173</v>
      </c>
      <c r="W265" s="874" t="s">
        <v>118</v>
      </c>
      <c r="X265" s="937"/>
      <c r="Y265" s="874" t="s">
        <v>3</v>
      </c>
      <c r="Z265" s="939"/>
      <c r="AA265" s="940" t="s">
        <v>4</v>
      </c>
      <c r="AB265" s="940"/>
      <c r="AC265" s="183"/>
      <c r="AD265" s="547"/>
      <c r="AG265" s="547"/>
      <c r="AH265" s="547"/>
      <c r="AI265" s="547"/>
      <c r="AJ265" s="547"/>
      <c r="AK265" s="547"/>
      <c r="AL265" s="183"/>
    </row>
    <row r="266" spans="2:38" x14ac:dyDescent="0.25">
      <c r="B266" s="931"/>
      <c r="C266" s="931"/>
      <c r="D266" s="936"/>
      <c r="E266" s="875"/>
      <c r="F266" s="938"/>
      <c r="G266" s="27" t="s">
        <v>7</v>
      </c>
      <c r="H266" s="24" t="s">
        <v>7</v>
      </c>
      <c r="K266" s="931"/>
      <c r="L266" s="8"/>
      <c r="M266" s="936"/>
      <c r="N266" s="875"/>
      <c r="O266" s="938"/>
      <c r="P266" s="27" t="s">
        <v>7</v>
      </c>
      <c r="Q266" s="24" t="s">
        <v>7</v>
      </c>
      <c r="T266" s="935"/>
      <c r="U266" s="931"/>
      <c r="V266" s="936"/>
      <c r="W266" s="875"/>
      <c r="X266" s="938"/>
      <c r="Y266" s="40" t="s">
        <v>196</v>
      </c>
      <c r="Z266" s="40" t="s">
        <v>7</v>
      </c>
      <c r="AA266" s="40" t="s">
        <v>196</v>
      </c>
      <c r="AB266" s="40" t="s">
        <v>7</v>
      </c>
      <c r="AC266" s="183"/>
      <c r="AD266" s="547"/>
      <c r="AG266" s="547"/>
      <c r="AH266" s="547"/>
      <c r="AI266" s="547"/>
      <c r="AJ266" s="547"/>
      <c r="AK266" s="547"/>
      <c r="AL266" s="183"/>
    </row>
    <row r="267" spans="2:38" x14ac:dyDescent="0.25">
      <c r="B267" s="11">
        <v>1</v>
      </c>
      <c r="C267" s="11">
        <v>2</v>
      </c>
      <c r="D267" s="11" t="s">
        <v>111</v>
      </c>
      <c r="E267" s="735" t="s">
        <v>115</v>
      </c>
      <c r="F267" s="736"/>
      <c r="G267" s="11" t="s">
        <v>116</v>
      </c>
      <c r="H267" s="22" t="s">
        <v>117</v>
      </c>
      <c r="K267" s="11">
        <v>1</v>
      </c>
      <c r="L267" s="11">
        <v>2</v>
      </c>
      <c r="M267" s="11" t="s">
        <v>111</v>
      </c>
      <c r="N267" s="735" t="s">
        <v>115</v>
      </c>
      <c r="O267" s="736"/>
      <c r="P267" s="11" t="s">
        <v>116</v>
      </c>
      <c r="Q267" s="22" t="s">
        <v>117</v>
      </c>
      <c r="T267" s="11">
        <v>1</v>
      </c>
      <c r="U267" s="11">
        <v>2</v>
      </c>
      <c r="V267" s="11" t="s">
        <v>111</v>
      </c>
      <c r="W267" s="944" t="s">
        <v>115</v>
      </c>
      <c r="X267" s="945"/>
      <c r="Y267" s="11" t="s">
        <v>201</v>
      </c>
      <c r="Z267" s="11" t="s">
        <v>116</v>
      </c>
      <c r="AA267" s="11" t="s">
        <v>200</v>
      </c>
      <c r="AB267" s="22" t="s">
        <v>117</v>
      </c>
      <c r="AC267" s="183"/>
      <c r="AD267" s="547"/>
      <c r="AG267" s="547"/>
      <c r="AH267" s="547"/>
      <c r="AI267" s="547"/>
      <c r="AJ267" s="547"/>
      <c r="AK267" s="547"/>
      <c r="AL267" s="183"/>
    </row>
    <row r="268" spans="2:38" x14ac:dyDescent="0.25">
      <c r="B268" s="12" t="s">
        <v>82</v>
      </c>
      <c r="C268" s="13" t="s">
        <v>127</v>
      </c>
      <c r="D268" s="13" t="s">
        <v>83</v>
      </c>
      <c r="E268" s="732" t="s">
        <v>120</v>
      </c>
      <c r="F268" s="733"/>
      <c r="G268" s="172">
        <f>'Kalkulace a Porovnání'!G268</f>
        <v>0</v>
      </c>
      <c r="H268" s="172">
        <f ca="1">'Kalkulace a Porovnání'!H268</f>
        <v>31.428571428571423</v>
      </c>
      <c r="K268" s="12" t="s">
        <v>82</v>
      </c>
      <c r="L268" s="13" t="s">
        <v>127</v>
      </c>
      <c r="M268" s="13" t="s">
        <v>83</v>
      </c>
      <c r="N268" s="732" t="s">
        <v>120</v>
      </c>
      <c r="O268" s="733"/>
      <c r="P268" s="172">
        <f>'Kalkulace a Porovnání'!P268</f>
        <v>0</v>
      </c>
      <c r="Q268" s="172">
        <f>'Kalkulace a Porovnání'!Q268</f>
        <v>0</v>
      </c>
      <c r="T268" s="12" t="s">
        <v>82</v>
      </c>
      <c r="U268" s="13" t="s">
        <v>127</v>
      </c>
      <c r="V268" s="13" t="s">
        <v>83</v>
      </c>
      <c r="W268" s="13" t="s">
        <v>120</v>
      </c>
      <c r="X268" s="101"/>
      <c r="Y268" s="172">
        <f>'Kalkulace a Porovnání'!Y268</f>
        <v>0</v>
      </c>
      <c r="Z268" s="172">
        <f>'Kalkulace a Porovnání'!Z268</f>
        <v>0</v>
      </c>
      <c r="AA268" s="172">
        <f>'Kalkulace a Porovnání'!AA268</f>
        <v>0</v>
      </c>
      <c r="AB268" s="172">
        <f ca="1">'Kalkulace a Porovnání'!AB268</f>
        <v>31.428571428571423</v>
      </c>
      <c r="AC268" s="183"/>
      <c r="AD268" s="547"/>
      <c r="AG268" s="547"/>
      <c r="AH268" s="547"/>
      <c r="AI268" s="547"/>
      <c r="AJ268" s="547"/>
      <c r="AK268" s="547"/>
      <c r="AL268" s="183"/>
    </row>
    <row r="269" spans="2:38" x14ac:dyDescent="0.25">
      <c r="B269" s="12" t="s">
        <v>84</v>
      </c>
      <c r="C269" s="13" t="s">
        <v>85</v>
      </c>
      <c r="D269" s="13" t="s">
        <v>10</v>
      </c>
      <c r="E269" s="732" t="s">
        <v>121</v>
      </c>
      <c r="F269" s="733"/>
      <c r="G269" s="449">
        <f>'Kalkulace a Porovnání'!G269</f>
        <v>0</v>
      </c>
      <c r="H269" s="449">
        <f ca="1">'Kalkulace a Porovnání'!H269</f>
        <v>0.43999999999999995</v>
      </c>
      <c r="K269" s="12" t="s">
        <v>84</v>
      </c>
      <c r="L269" s="13" t="s">
        <v>85</v>
      </c>
      <c r="M269" s="13" t="s">
        <v>10</v>
      </c>
      <c r="N269" s="732" t="s">
        <v>121</v>
      </c>
      <c r="O269" s="733"/>
      <c r="P269" s="449">
        <f>'Kalkulace a Porovnání'!P269</f>
        <v>0</v>
      </c>
      <c r="Q269" s="449">
        <f>'Kalkulace a Porovnání'!Q269</f>
        <v>0</v>
      </c>
      <c r="T269" s="12" t="s">
        <v>84</v>
      </c>
      <c r="U269" s="13" t="s">
        <v>85</v>
      </c>
      <c r="V269" s="13" t="s">
        <v>10</v>
      </c>
      <c r="W269" s="13" t="s">
        <v>121</v>
      </c>
      <c r="X269" s="101"/>
      <c r="Y269" s="449">
        <f>'Kalkulace a Porovnání'!Y269</f>
        <v>0</v>
      </c>
      <c r="Z269" s="449">
        <f>'Kalkulace a Porovnání'!Z269</f>
        <v>0</v>
      </c>
      <c r="AA269" s="449">
        <f>'Kalkulace a Porovnání'!AA269</f>
        <v>0</v>
      </c>
      <c r="AB269" s="449">
        <f ca="1">'Kalkulace a Porovnání'!AB269</f>
        <v>0.43999999999999995</v>
      </c>
      <c r="AC269" s="183"/>
      <c r="AD269" s="547"/>
      <c r="AG269" s="547"/>
      <c r="AH269" s="547"/>
      <c r="AI269" s="547"/>
      <c r="AJ269" s="547"/>
      <c r="AK269" s="547"/>
      <c r="AL269" s="183"/>
    </row>
    <row r="270" spans="2:38" x14ac:dyDescent="0.25">
      <c r="B270" s="12" t="s">
        <v>86</v>
      </c>
      <c r="C270" s="13" t="s">
        <v>87</v>
      </c>
      <c r="D270" s="13" t="s">
        <v>10</v>
      </c>
      <c r="E270" s="732"/>
      <c r="F270" s="733"/>
      <c r="G270" s="449">
        <f>'Kalkulace a Porovnání'!G270</f>
        <v>0</v>
      </c>
      <c r="H270" s="449">
        <f ca="1">'Kalkulace a Porovnání'!H270</f>
        <v>7.758654207907981E-3</v>
      </c>
      <c r="K270" s="12" t="s">
        <v>86</v>
      </c>
      <c r="L270" s="13" t="s">
        <v>87</v>
      </c>
      <c r="M270" s="13" t="s">
        <v>10</v>
      </c>
      <c r="N270" s="732"/>
      <c r="O270" s="733"/>
      <c r="P270" s="449">
        <f>'Kalkulace a Porovnání'!P270</f>
        <v>0</v>
      </c>
      <c r="Q270" s="449">
        <f>'Kalkulace a Porovnání'!Q270</f>
        <v>0</v>
      </c>
      <c r="T270" s="12" t="s">
        <v>86</v>
      </c>
      <c r="U270" s="13" t="s">
        <v>87</v>
      </c>
      <c r="V270" s="13" t="s">
        <v>10</v>
      </c>
      <c r="W270" s="13"/>
      <c r="X270" s="101"/>
      <c r="Y270" s="449">
        <f>'Kalkulace a Porovnání'!Y270</f>
        <v>0</v>
      </c>
      <c r="Z270" s="449">
        <f>'Kalkulace a Porovnání'!Z270</f>
        <v>0</v>
      </c>
      <c r="AA270" s="449">
        <f>'Kalkulace a Porovnání'!AA270</f>
        <v>0</v>
      </c>
      <c r="AB270" s="449">
        <f ca="1">'Kalkulace a Porovnání'!AB270</f>
        <v>7.758654207907981E-3</v>
      </c>
      <c r="AC270" s="183"/>
      <c r="AD270" s="547"/>
      <c r="AG270" s="547"/>
      <c r="AH270" s="547"/>
      <c r="AI270" s="547"/>
      <c r="AJ270" s="547"/>
      <c r="AK270" s="547"/>
      <c r="AL270" s="183"/>
    </row>
    <row r="271" spans="2:38" x14ac:dyDescent="0.25">
      <c r="B271" s="12" t="s">
        <v>88</v>
      </c>
      <c r="C271" s="21" t="s">
        <v>89</v>
      </c>
      <c r="D271" s="13" t="s">
        <v>90</v>
      </c>
      <c r="E271" s="732" t="s">
        <v>123</v>
      </c>
      <c r="F271" s="733"/>
      <c r="G271" s="172">
        <f>'Kalkulace a Porovnání'!G271</f>
        <v>0</v>
      </c>
      <c r="H271" s="172">
        <f ca="1">'Kalkulace a Porovnání'!H271</f>
        <v>1.7633305017972687</v>
      </c>
      <c r="K271" s="12" t="s">
        <v>88</v>
      </c>
      <c r="L271" s="21" t="s">
        <v>89</v>
      </c>
      <c r="M271" s="13" t="s">
        <v>90</v>
      </c>
      <c r="N271" s="732" t="s">
        <v>123</v>
      </c>
      <c r="O271" s="733"/>
      <c r="P271" s="172">
        <f>'Kalkulace a Porovnání'!P271</f>
        <v>0</v>
      </c>
      <c r="Q271" s="172">
        <f>'Kalkulace a Porovnání'!Q271</f>
        <v>0</v>
      </c>
      <c r="T271" s="12" t="s">
        <v>88</v>
      </c>
      <c r="U271" s="21" t="s">
        <v>89</v>
      </c>
      <c r="V271" s="13" t="s">
        <v>90</v>
      </c>
      <c r="W271" s="13" t="s">
        <v>123</v>
      </c>
      <c r="X271" s="101"/>
      <c r="Y271" s="172">
        <f>'Kalkulace a Porovnání'!Y271</f>
        <v>0</v>
      </c>
      <c r="Z271" s="172">
        <f>'Kalkulace a Porovnání'!Z271</f>
        <v>0</v>
      </c>
      <c r="AA271" s="172">
        <f>'Kalkulace a Porovnání'!AA271</f>
        <v>0</v>
      </c>
      <c r="AB271" s="172">
        <f ca="1">'Kalkulace a Porovnání'!AB271</f>
        <v>1.7633305017972687</v>
      </c>
      <c r="AC271" s="183"/>
      <c r="AD271" s="547"/>
      <c r="AG271" s="547"/>
      <c r="AH271" s="547"/>
      <c r="AI271" s="547"/>
      <c r="AJ271" s="547"/>
      <c r="AK271" s="547"/>
      <c r="AL271" s="183"/>
    </row>
    <row r="272" spans="2:38" x14ac:dyDescent="0.25">
      <c r="B272" s="12" t="s">
        <v>91</v>
      </c>
      <c r="C272" s="21" t="s">
        <v>92</v>
      </c>
      <c r="D272" s="13" t="s">
        <v>10</v>
      </c>
      <c r="E272" s="732"/>
      <c r="F272" s="733"/>
      <c r="G272" s="449">
        <f>'Kalkulace a Porovnání'!G272</f>
        <v>0</v>
      </c>
      <c r="H272" s="449">
        <f>'Kalkulace a Porovnání'!H272</f>
        <v>0</v>
      </c>
      <c r="K272" s="12" t="s">
        <v>91</v>
      </c>
      <c r="L272" s="21" t="s">
        <v>92</v>
      </c>
      <c r="M272" s="13" t="s">
        <v>10</v>
      </c>
      <c r="N272" s="732"/>
      <c r="O272" s="733"/>
      <c r="P272" s="449">
        <f>'Kalkulace a Porovnání'!P272</f>
        <v>0</v>
      </c>
      <c r="Q272" s="449">
        <f>'Kalkulace a Porovnání'!Q272</f>
        <v>0</v>
      </c>
      <c r="T272" s="12" t="s">
        <v>91</v>
      </c>
      <c r="U272" s="21" t="s">
        <v>92</v>
      </c>
      <c r="V272" s="13" t="s">
        <v>10</v>
      </c>
      <c r="W272" s="13"/>
      <c r="X272" s="101"/>
      <c r="Y272" s="449">
        <f>'Kalkulace a Porovnání'!Y272</f>
        <v>0</v>
      </c>
      <c r="Z272" s="449">
        <f>'Kalkulace a Porovnání'!Z272</f>
        <v>0</v>
      </c>
      <c r="AA272" s="449">
        <f>'Kalkulace a Porovnání'!AA272</f>
        <v>0</v>
      </c>
      <c r="AB272" s="449">
        <f>'Kalkulace a Porovnání'!AB272</f>
        <v>0</v>
      </c>
      <c r="AC272" s="183"/>
      <c r="AD272" s="547"/>
      <c r="AG272" s="547"/>
      <c r="AH272" s="547"/>
      <c r="AI272" s="547"/>
      <c r="AJ272" s="547"/>
      <c r="AK272" s="547"/>
      <c r="AL272" s="183"/>
    </row>
    <row r="273" spans="2:38" x14ac:dyDescent="0.25">
      <c r="B273" s="12" t="s">
        <v>93</v>
      </c>
      <c r="C273" s="13" t="s">
        <v>94</v>
      </c>
      <c r="D273" s="13" t="s">
        <v>10</v>
      </c>
      <c r="E273" s="732" t="s">
        <v>122</v>
      </c>
      <c r="F273" s="733"/>
      <c r="G273" s="449">
        <f>'Kalkulace a Porovnání'!G273</f>
        <v>0</v>
      </c>
      <c r="H273" s="449">
        <f ca="1">'Kalkulace a Porovnání'!H273</f>
        <v>0.44775865420790795</v>
      </c>
      <c r="K273" s="12" t="s">
        <v>93</v>
      </c>
      <c r="L273" s="13" t="s">
        <v>94</v>
      </c>
      <c r="M273" s="13" t="s">
        <v>10</v>
      </c>
      <c r="N273" s="732" t="s">
        <v>122</v>
      </c>
      <c r="O273" s="733"/>
      <c r="P273" s="449">
        <f>'Kalkulace a Porovnání'!P273</f>
        <v>0</v>
      </c>
      <c r="Q273" s="449">
        <f>'Kalkulace a Porovnání'!Q273</f>
        <v>0</v>
      </c>
      <c r="T273" s="12" t="s">
        <v>93</v>
      </c>
      <c r="U273" s="13" t="s">
        <v>94</v>
      </c>
      <c r="V273" s="13" t="s">
        <v>10</v>
      </c>
      <c r="W273" s="13" t="s">
        <v>122</v>
      </c>
      <c r="X273" s="101"/>
      <c r="Y273" s="449">
        <f>'Kalkulace a Porovnání'!Y273</f>
        <v>0</v>
      </c>
      <c r="Z273" s="449">
        <f>'Kalkulace a Porovnání'!Z273</f>
        <v>0</v>
      </c>
      <c r="AA273" s="449">
        <f>'Kalkulace a Porovnání'!AA273</f>
        <v>0</v>
      </c>
      <c r="AB273" s="449">
        <f ca="1">'Kalkulace a Porovnání'!AB273</f>
        <v>0.44775865420790795</v>
      </c>
      <c r="AC273" s="183"/>
      <c r="AD273" s="547"/>
      <c r="AG273" s="547"/>
      <c r="AH273" s="547"/>
      <c r="AI273" s="547"/>
      <c r="AJ273" s="547"/>
      <c r="AK273" s="547"/>
      <c r="AL273" s="183"/>
    </row>
    <row r="274" spans="2:38" x14ac:dyDescent="0.25">
      <c r="B274" s="12" t="s">
        <v>95</v>
      </c>
      <c r="C274" s="13" t="s">
        <v>96</v>
      </c>
      <c r="D274" s="13" t="s">
        <v>66</v>
      </c>
      <c r="E274" s="732" t="s">
        <v>124</v>
      </c>
      <c r="F274" s="733"/>
      <c r="G274" s="449">
        <f>'Kalkulace a Porovnání'!G274</f>
        <v>0</v>
      </c>
      <c r="H274" s="449">
        <f>'Kalkulace a Porovnání'!H274</f>
        <v>1.4E-2</v>
      </c>
      <c r="K274" s="12" t="s">
        <v>95</v>
      </c>
      <c r="L274" s="13" t="s">
        <v>96</v>
      </c>
      <c r="M274" s="13" t="s">
        <v>66</v>
      </c>
      <c r="N274" s="732" t="s">
        <v>124</v>
      </c>
      <c r="O274" s="733"/>
      <c r="P274" s="449">
        <f>'Kalkulace a Porovnání'!P274</f>
        <v>0</v>
      </c>
      <c r="Q274" s="449">
        <f>'Kalkulace a Porovnání'!Q274</f>
        <v>0</v>
      </c>
      <c r="T274" s="12" t="s">
        <v>95</v>
      </c>
      <c r="U274" s="13" t="s">
        <v>96</v>
      </c>
      <c r="V274" s="13" t="s">
        <v>66</v>
      </c>
      <c r="W274" s="13" t="s">
        <v>124</v>
      </c>
      <c r="X274" s="101"/>
      <c r="Y274" s="449">
        <f>'Kalkulace a Porovnání'!Y274</f>
        <v>0</v>
      </c>
      <c r="Z274" s="449">
        <f>'Kalkulace a Porovnání'!Z274</f>
        <v>0</v>
      </c>
      <c r="AA274" s="449">
        <f>'Kalkulace a Porovnání'!AA274</f>
        <v>0</v>
      </c>
      <c r="AB274" s="449">
        <f>'Kalkulace a Porovnání'!AB274</f>
        <v>1.4E-2</v>
      </c>
      <c r="AC274" s="183"/>
      <c r="AD274" s="547"/>
      <c r="AG274" s="547"/>
      <c r="AH274" s="547"/>
      <c r="AI274" s="547"/>
      <c r="AJ274" s="547"/>
      <c r="AK274" s="547"/>
      <c r="AL274" s="183"/>
    </row>
    <row r="275" spans="2:38" x14ac:dyDescent="0.25">
      <c r="B275" s="12" t="s">
        <v>97</v>
      </c>
      <c r="C275" s="13" t="s">
        <v>98</v>
      </c>
      <c r="D275" s="13" t="s">
        <v>83</v>
      </c>
      <c r="E275" s="732" t="s">
        <v>125</v>
      </c>
      <c r="F275" s="733"/>
      <c r="G275" s="172">
        <f>'Kalkulace a Porovnání'!G275</f>
        <v>0</v>
      </c>
      <c r="H275" s="172">
        <f ca="1">'Kalkulace a Porovnání'!H275</f>
        <v>31.982761014850567</v>
      </c>
      <c r="K275" s="12" t="s">
        <v>97</v>
      </c>
      <c r="L275" s="13" t="s">
        <v>98</v>
      </c>
      <c r="M275" s="13" t="s">
        <v>83</v>
      </c>
      <c r="N275" s="732" t="s">
        <v>125</v>
      </c>
      <c r="O275" s="733"/>
      <c r="P275" s="172">
        <f>'Kalkulace a Porovnání'!P275</f>
        <v>0</v>
      </c>
      <c r="Q275" s="172">
        <f>'Kalkulace a Porovnání'!Q275</f>
        <v>0</v>
      </c>
      <c r="T275" s="12" t="s">
        <v>97</v>
      </c>
      <c r="U275" s="13" t="s">
        <v>98</v>
      </c>
      <c r="V275" s="13" t="s">
        <v>83</v>
      </c>
      <c r="W275" s="13" t="s">
        <v>125</v>
      </c>
      <c r="X275" s="101"/>
      <c r="Y275" s="172">
        <f>'Kalkulace a Porovnání'!Y275</f>
        <v>0</v>
      </c>
      <c r="Z275" s="172">
        <f>'Kalkulace a Porovnání'!Z275</f>
        <v>0</v>
      </c>
      <c r="AA275" s="172">
        <f>'Kalkulace a Porovnání'!AA275</f>
        <v>0</v>
      </c>
      <c r="AB275" s="172">
        <f ca="1">'Kalkulace a Porovnání'!AB275</f>
        <v>31.982761014850567</v>
      </c>
      <c r="AC275" s="183"/>
      <c r="AD275" s="547"/>
      <c r="AG275" s="547"/>
      <c r="AH275" s="547"/>
      <c r="AI275" s="547"/>
      <c r="AJ275" s="547"/>
      <c r="AK275" s="547"/>
      <c r="AL275" s="183"/>
    </row>
    <row r="276" spans="2:38" x14ac:dyDescent="0.25">
      <c r="B276" s="12" t="s">
        <v>99</v>
      </c>
      <c r="C276" s="13" t="str">
        <f>CONCATENATE("CENA pro vodné, stočné + ",Provozování!E304*100,"% DPH")</f>
        <v>CENA pro vodné, stočné + 0% DPH</v>
      </c>
      <c r="D276" s="13" t="s">
        <v>83</v>
      </c>
      <c r="E276" s="732" t="s">
        <v>126</v>
      </c>
      <c r="F276" s="733"/>
      <c r="G276" s="172">
        <f>'Kalkulace a Porovnání'!G276</f>
        <v>0</v>
      </c>
      <c r="H276" s="172">
        <f ca="1">'Kalkulace a Porovnání'!H276</f>
        <v>36.780175167078148</v>
      </c>
      <c r="K276" s="12" t="s">
        <v>99</v>
      </c>
      <c r="L276" s="13" t="str">
        <f>C276</f>
        <v>CENA pro vodné, stočné + 0% DPH</v>
      </c>
      <c r="M276" s="13" t="s">
        <v>83</v>
      </c>
      <c r="N276" s="732" t="s">
        <v>126</v>
      </c>
      <c r="O276" s="733"/>
      <c r="P276" s="172">
        <f>'Kalkulace a Porovnání'!P276</f>
        <v>0</v>
      </c>
      <c r="Q276" s="172">
        <f>'Kalkulace a Porovnání'!Q276</f>
        <v>0</v>
      </c>
      <c r="T276" s="12" t="s">
        <v>99</v>
      </c>
      <c r="U276" s="13" t="str">
        <f>C276</f>
        <v>CENA pro vodné, stočné + 0% DPH</v>
      </c>
      <c r="V276" s="13" t="s">
        <v>83</v>
      </c>
      <c r="W276" s="13" t="s">
        <v>126</v>
      </c>
      <c r="X276" s="101"/>
      <c r="Y276" s="172">
        <f>'Kalkulace a Porovnání'!Y276</f>
        <v>0</v>
      </c>
      <c r="Z276" s="172">
        <f>'Kalkulace a Porovnání'!Z276</f>
        <v>0</v>
      </c>
      <c r="AA276" s="172">
        <f>'Kalkulace a Porovnání'!AA276</f>
        <v>0</v>
      </c>
      <c r="AB276" s="172">
        <f ca="1">'Kalkulace a Porovnání'!AB276</f>
        <v>36.780175167078148</v>
      </c>
      <c r="AC276" s="183"/>
      <c r="AD276" s="547"/>
      <c r="AG276" s="547"/>
      <c r="AH276" s="547"/>
      <c r="AI276" s="547"/>
      <c r="AJ276" s="547"/>
      <c r="AK276" s="547"/>
      <c r="AL276" s="183"/>
    </row>
    <row r="277" spans="2:38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T277" s="967" t="s">
        <v>203</v>
      </c>
      <c r="U277" s="967" t="s">
        <v>202</v>
      </c>
      <c r="V277" s="968" t="s">
        <v>10</v>
      </c>
      <c r="W277" s="919" t="s">
        <v>204</v>
      </c>
      <c r="X277" s="732"/>
      <c r="Y277" s="102" t="s">
        <v>206</v>
      </c>
      <c r="Z277" s="105" t="s">
        <v>207</v>
      </c>
      <c r="AA277" s="102" t="s">
        <v>206</v>
      </c>
      <c r="AB277" s="105" t="s">
        <v>207</v>
      </c>
      <c r="AC277" s="183"/>
      <c r="AD277" s="547"/>
      <c r="AG277" s="547"/>
      <c r="AH277" s="547"/>
      <c r="AI277" s="547"/>
      <c r="AJ277" s="547"/>
      <c r="AK277" s="547"/>
      <c r="AL277" s="183"/>
    </row>
    <row r="278" spans="2:38" x14ac:dyDescent="0.25">
      <c r="B278" s="500"/>
      <c r="C278" s="499"/>
      <c r="D278" s="499"/>
      <c r="E278" s="499"/>
      <c r="F278" s="499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T278" s="967"/>
      <c r="U278" s="967"/>
      <c r="V278" s="968"/>
      <c r="W278" s="969">
        <f>'Kalkulace a Porovnání'!W278</f>
        <v>0</v>
      </c>
      <c r="X278" s="970"/>
      <c r="Y278" s="103">
        <f>'Kalkulace a Porovnání'!Y278</f>
        <v>2023</v>
      </c>
      <c r="Z278" s="103">
        <f>'Kalkulace a Porovnání'!Z278</f>
        <v>2023</v>
      </c>
      <c r="AA278" s="103">
        <f>'Kalkulace a Porovnání'!AA278</f>
        <v>2023</v>
      </c>
      <c r="AB278" s="103">
        <f>'Kalkulace a Porovnání'!AB278</f>
        <v>2023</v>
      </c>
      <c r="AC278" s="183"/>
      <c r="AD278" s="547"/>
      <c r="AG278" s="547"/>
      <c r="AH278" s="547"/>
      <c r="AI278" s="547"/>
      <c r="AJ278" s="547"/>
      <c r="AK278" s="547"/>
      <c r="AL278" s="183"/>
    </row>
    <row r="279" spans="2:38" x14ac:dyDescent="0.25">
      <c r="B279" s="500"/>
      <c r="C279" s="499"/>
      <c r="D279" s="499"/>
      <c r="E279" s="499"/>
      <c r="F279" s="499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T279" s="967"/>
      <c r="U279" s="967"/>
      <c r="V279" s="968"/>
      <c r="W279" s="919" t="s">
        <v>205</v>
      </c>
      <c r="X279" s="732"/>
      <c r="Y279" s="104" t="s">
        <v>208</v>
      </c>
      <c r="Z279" s="104" t="s">
        <v>208</v>
      </c>
      <c r="AA279" s="104" t="s">
        <v>209</v>
      </c>
      <c r="AB279" s="104" t="s">
        <v>209</v>
      </c>
      <c r="AC279" s="183"/>
      <c r="AD279" s="547"/>
      <c r="AG279" s="547"/>
      <c r="AH279" s="547"/>
      <c r="AI279" s="547"/>
      <c r="AJ279" s="547"/>
      <c r="AK279" s="547"/>
      <c r="AL279" s="183"/>
    </row>
    <row r="280" spans="2:38" x14ac:dyDescent="0.25">
      <c r="B280" s="499"/>
      <c r="C280" s="499"/>
      <c r="D280" s="499"/>
      <c r="E280" s="499"/>
      <c r="F280" s="499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T280" s="967"/>
      <c r="U280" s="967"/>
      <c r="V280" s="968"/>
      <c r="W280" s="971">
        <f>'Kalkulace a Porovnání'!W280</f>
        <v>0</v>
      </c>
      <c r="X280" s="971"/>
      <c r="Y280" s="449">
        <f>'Kalkulace a Porovnání'!Y280</f>
        <v>0</v>
      </c>
      <c r="Z280" s="449">
        <f>'Kalkulace a Porovnání'!Z280</f>
        <v>0</v>
      </c>
      <c r="AA280" s="449">
        <f>'Kalkulace a Porovnání'!AA280</f>
        <v>0</v>
      </c>
      <c r="AB280" s="449">
        <f>'Kalkulace a Porovnání'!AB280</f>
        <v>0</v>
      </c>
      <c r="AC280" s="183"/>
      <c r="AD280" s="547"/>
      <c r="AG280" s="547"/>
      <c r="AH280" s="547"/>
      <c r="AI280" s="547"/>
      <c r="AJ280" s="547"/>
      <c r="AK280" s="547"/>
      <c r="AL280" s="183"/>
    </row>
    <row r="281" spans="2:38" x14ac:dyDescent="0.25">
      <c r="B281" s="31"/>
      <c r="AC281" s="183"/>
      <c r="AD281" s="547"/>
      <c r="AG281" s="547"/>
      <c r="AH281" s="547"/>
      <c r="AI281" s="547"/>
      <c r="AJ281" s="547"/>
      <c r="AK281" s="547"/>
      <c r="AL281" s="183"/>
    </row>
    <row r="282" spans="2:38" x14ac:dyDescent="0.25">
      <c r="B282" s="726" t="s">
        <v>393</v>
      </c>
      <c r="C282" s="727"/>
      <c r="D282" s="727"/>
      <c r="E282" s="727"/>
      <c r="F282" s="727"/>
      <c r="G282" s="727"/>
      <c r="H282" s="727"/>
      <c r="K282" s="726" t="s">
        <v>394</v>
      </c>
      <c r="L282" s="727"/>
      <c r="M282" s="727"/>
      <c r="N282" s="727"/>
      <c r="O282" s="727"/>
      <c r="P282" s="727"/>
      <c r="Q282" s="727"/>
      <c r="T282" s="726" t="s">
        <v>210</v>
      </c>
      <c r="U282" s="727"/>
      <c r="V282" s="727"/>
      <c r="W282" s="727"/>
      <c r="X282" s="727"/>
      <c r="Y282" s="727"/>
      <c r="Z282" s="727"/>
      <c r="AA282" s="727"/>
      <c r="AB282" s="727"/>
      <c r="AC282" s="183"/>
      <c r="AD282" s="547"/>
      <c r="AG282" s="547"/>
      <c r="AH282" s="547"/>
      <c r="AI282" s="547"/>
      <c r="AJ282" s="547"/>
      <c r="AK282" s="547"/>
      <c r="AL282" s="183"/>
    </row>
    <row r="283" spans="2:38" x14ac:dyDescent="0.25">
      <c r="C283" s="362"/>
      <c r="E283" s="25"/>
      <c r="F283" s="25"/>
      <c r="L283" s="25"/>
      <c r="N283" s="25"/>
      <c r="T283" s="950" t="s">
        <v>395</v>
      </c>
      <c r="U283" s="950"/>
      <c r="V283" s="950"/>
      <c r="W283" s="950"/>
      <c r="X283" s="950"/>
      <c r="Y283" s="950"/>
      <c r="Z283" s="950"/>
      <c r="AA283" s="950"/>
      <c r="AB283" s="950"/>
      <c r="AC283" s="183"/>
      <c r="AD283" s="547"/>
      <c r="AG283" s="547"/>
      <c r="AH283" s="547"/>
      <c r="AI283" s="547"/>
      <c r="AJ283" s="547"/>
      <c r="AK283" s="547"/>
      <c r="AL283" s="183"/>
    </row>
    <row r="284" spans="2:38" x14ac:dyDescent="0.25">
      <c r="C284" s="362" t="s">
        <v>119</v>
      </c>
      <c r="D284" s="364">
        <f>'Kalkulace a Porovnání'!D284</f>
        <v>2024</v>
      </c>
      <c r="E284" s="25"/>
      <c r="F284" s="362" t="s">
        <v>278</v>
      </c>
      <c r="G284" s="365">
        <f>'Kalkulace a Porovnání'!G284</f>
        <v>45292</v>
      </c>
      <c r="H284" s="365" t="str">
        <f>'Kalkulace a Porovnání'!H284</f>
        <v>- 31.12.2024</v>
      </c>
      <c r="L284" s="362" t="s">
        <v>119</v>
      </c>
      <c r="M284" s="364">
        <f>'Kalkulace a Porovnání'!M284</f>
        <v>2024</v>
      </c>
      <c r="O284" s="362" t="s">
        <v>278</v>
      </c>
      <c r="P284" s="365" t="str">
        <f>'Kalkulace a Porovnání'!P284</f>
        <v>-</v>
      </c>
      <c r="Q284" s="365" t="str">
        <f>'Kalkulace a Porovnání'!Q284</f>
        <v xml:space="preserve"> </v>
      </c>
      <c r="T284" s="441"/>
      <c r="U284" s="441"/>
      <c r="V284" s="451" t="s">
        <v>195</v>
      </c>
      <c r="W284" s="364">
        <f>'Kalkulace a Porovnání'!W284</f>
        <v>2024</v>
      </c>
      <c r="Z284" s="362" t="s">
        <v>278</v>
      </c>
      <c r="AA284" s="365">
        <f>'Kalkulace a Porovnání'!AA284</f>
        <v>45292</v>
      </c>
      <c r="AB284" s="365" t="str">
        <f>'Kalkulace a Porovnání'!AB284</f>
        <v>- 31.12.2024</v>
      </c>
      <c r="AC284" s="183"/>
      <c r="AD284" s="547"/>
      <c r="AG284" s="547"/>
      <c r="AH284" s="547"/>
      <c r="AI284" s="547"/>
      <c r="AJ284" s="547"/>
      <c r="AK284" s="547"/>
      <c r="AL284" s="183"/>
    </row>
    <row r="285" spans="2:38" x14ac:dyDescent="0.25">
      <c r="B285" s="13" t="s">
        <v>74</v>
      </c>
      <c r="C285" s="13" t="s">
        <v>105</v>
      </c>
      <c r="D285" s="941" t="str">
        <f>'Kalkulace a Porovnání'!D285</f>
        <v/>
      </c>
      <c r="E285" s="942"/>
      <c r="F285" s="942"/>
      <c r="G285" s="942"/>
      <c r="H285" s="943"/>
      <c r="K285" s="13" t="s">
        <v>74</v>
      </c>
      <c r="L285" s="13" t="s">
        <v>105</v>
      </c>
      <c r="M285" s="941" t="str">
        <f>'Kalkulace a Porovnání'!M285</f>
        <v/>
      </c>
      <c r="N285" s="942"/>
      <c r="O285" s="942"/>
      <c r="P285" s="942"/>
      <c r="Q285" s="943"/>
      <c r="T285" s="13" t="s">
        <v>74</v>
      </c>
      <c r="U285" s="13" t="s">
        <v>105</v>
      </c>
      <c r="V285" s="949" t="str">
        <f>'Kalkulace a Porovnání'!V285</f>
        <v/>
      </c>
      <c r="W285" s="738"/>
      <c r="X285" s="738"/>
      <c r="Y285" s="738"/>
      <c r="Z285" s="738"/>
      <c r="AA285" s="738"/>
      <c r="AB285" s="738"/>
      <c r="AC285" s="183"/>
      <c r="AD285" s="547"/>
      <c r="AG285" s="342"/>
      <c r="AH285" s="342"/>
      <c r="AI285" s="342"/>
      <c r="AJ285" s="342"/>
      <c r="AK285" s="547"/>
      <c r="AL285" s="183"/>
    </row>
    <row r="286" spans="2:38" x14ac:dyDescent="0.25">
      <c r="B286" s="13" t="s">
        <v>100</v>
      </c>
      <c r="C286" s="13" t="s">
        <v>106</v>
      </c>
      <c r="D286" s="941" t="str">
        <f>'Kalkulace a Porovnání'!D286</f>
        <v/>
      </c>
      <c r="E286" s="942"/>
      <c r="F286" s="942"/>
      <c r="G286" s="942"/>
      <c r="H286" s="943"/>
      <c r="K286" s="13" t="s">
        <v>100</v>
      </c>
      <c r="L286" s="13" t="s">
        <v>106</v>
      </c>
      <c r="M286" s="941" t="str">
        <f>'Kalkulace a Porovnání'!M286</f>
        <v/>
      </c>
      <c r="N286" s="942"/>
      <c r="O286" s="942"/>
      <c r="P286" s="942"/>
      <c r="Q286" s="943"/>
      <c r="T286" s="13" t="s">
        <v>100</v>
      </c>
      <c r="U286" s="13" t="s">
        <v>106</v>
      </c>
      <c r="V286" s="949" t="str">
        <f>'Kalkulace a Porovnání'!V286</f>
        <v/>
      </c>
      <c r="W286" s="738"/>
      <c r="X286" s="738"/>
      <c r="Y286" s="738"/>
      <c r="Z286" s="738"/>
      <c r="AA286" s="738"/>
      <c r="AB286" s="738"/>
      <c r="AC286" s="183"/>
      <c r="AD286" s="547"/>
      <c r="AG286" s="342"/>
      <c r="AH286" s="342"/>
      <c r="AI286" s="342"/>
      <c r="AJ286" s="342"/>
      <c r="AK286" s="547"/>
      <c r="AL286" s="183"/>
    </row>
    <row r="287" spans="2:38" x14ac:dyDescent="0.25">
      <c r="B287" s="13" t="s">
        <v>101</v>
      </c>
      <c r="C287" s="13" t="s">
        <v>107</v>
      </c>
      <c r="D287" s="941" t="str">
        <f>'Kalkulace a Porovnání'!D287</f>
        <v xml:space="preserve">Město Kraslice, IČ </v>
      </c>
      <c r="E287" s="942"/>
      <c r="F287" s="942"/>
      <c r="G287" s="942"/>
      <c r="H287" s="943"/>
      <c r="K287" s="13" t="s">
        <v>101</v>
      </c>
      <c r="L287" s="13" t="s">
        <v>107</v>
      </c>
      <c r="M287" s="941" t="str">
        <f>'Kalkulace a Porovnání'!M287</f>
        <v xml:space="preserve">Město Kraslice, IČ </v>
      </c>
      <c r="N287" s="942"/>
      <c r="O287" s="942"/>
      <c r="P287" s="942"/>
      <c r="Q287" s="943"/>
      <c r="T287" s="13" t="s">
        <v>101</v>
      </c>
      <c r="U287" s="13" t="s">
        <v>107</v>
      </c>
      <c r="V287" s="949" t="str">
        <f>'Kalkulace a Porovnání'!V287</f>
        <v xml:space="preserve">Město Kraslice, IČ </v>
      </c>
      <c r="W287" s="738"/>
      <c r="X287" s="738"/>
      <c r="Y287" s="738"/>
      <c r="Z287" s="738"/>
      <c r="AA287" s="738"/>
      <c r="AB287" s="738"/>
      <c r="AC287" s="183"/>
      <c r="AD287" s="547"/>
      <c r="AG287" s="342"/>
      <c r="AH287" s="342"/>
      <c r="AI287" s="342"/>
      <c r="AJ287" s="342"/>
      <c r="AK287" s="547"/>
      <c r="AL287" s="183"/>
    </row>
    <row r="288" spans="2:38" x14ac:dyDescent="0.25">
      <c r="B288" s="13" t="s">
        <v>102</v>
      </c>
      <c r="C288" s="13" t="s">
        <v>109</v>
      </c>
      <c r="D288" s="941" t="str">
        <f>'Kalkulace a Porovnání'!D288</f>
        <v>[vyplnit]</v>
      </c>
      <c r="E288" s="942"/>
      <c r="F288" s="942"/>
      <c r="G288" s="942"/>
      <c r="H288" s="943"/>
      <c r="K288" s="13" t="s">
        <v>102</v>
      </c>
      <c r="L288" s="13" t="s">
        <v>109</v>
      </c>
      <c r="M288" s="941" t="str">
        <f>'Kalkulace a Porovnání'!M288</f>
        <v xml:space="preserve"> </v>
      </c>
      <c r="N288" s="942"/>
      <c r="O288" s="942"/>
      <c r="P288" s="942"/>
      <c r="Q288" s="943"/>
      <c r="T288" s="13" t="s">
        <v>102</v>
      </c>
      <c r="U288" s="13" t="s">
        <v>109</v>
      </c>
      <c r="V288" s="949" t="str">
        <f>'Kalkulace a Porovnání'!V288</f>
        <v xml:space="preserve"> </v>
      </c>
      <c r="W288" s="738"/>
      <c r="X288" s="738"/>
      <c r="Y288" s="738"/>
      <c r="Z288" s="738"/>
      <c r="AA288" s="738"/>
      <c r="AB288" s="738"/>
      <c r="AC288" s="183"/>
      <c r="AD288" s="547"/>
      <c r="AG288" s="342"/>
      <c r="AH288" s="342"/>
      <c r="AI288" s="342"/>
      <c r="AJ288" s="342"/>
      <c r="AK288" s="547"/>
      <c r="AL288" s="183"/>
    </row>
    <row r="289" spans="2:38" x14ac:dyDescent="0.25">
      <c r="B289" s="13" t="s">
        <v>103</v>
      </c>
      <c r="C289" s="13" t="s">
        <v>108</v>
      </c>
      <c r="D289" s="941" t="str">
        <f>'Kalkulace a Porovnání'!D289</f>
        <v>[vyplnit]</v>
      </c>
      <c r="E289" s="942"/>
      <c r="F289" s="942"/>
      <c r="G289" s="942"/>
      <c r="H289" s="943"/>
      <c r="K289" s="13" t="s">
        <v>103</v>
      </c>
      <c r="L289" s="13" t="s">
        <v>108</v>
      </c>
      <c r="M289" s="941" t="str">
        <f>'Kalkulace a Porovnání'!M289</f>
        <v xml:space="preserve"> </v>
      </c>
      <c r="N289" s="942"/>
      <c r="O289" s="942"/>
      <c r="P289" s="942"/>
      <c r="Q289" s="943"/>
      <c r="T289" s="13" t="s">
        <v>103</v>
      </c>
      <c r="U289" s="13" t="s">
        <v>108</v>
      </c>
      <c r="V289" s="949" t="str">
        <f>'Kalkulace a Porovnání'!V289</f>
        <v xml:space="preserve"> </v>
      </c>
      <c r="W289" s="738"/>
      <c r="X289" s="738"/>
      <c r="Y289" s="738"/>
      <c r="Z289" s="738"/>
      <c r="AA289" s="738"/>
      <c r="AB289" s="738"/>
      <c r="AC289" s="183"/>
      <c r="AD289" s="547"/>
      <c r="AG289" s="342"/>
      <c r="AH289" s="342"/>
      <c r="AI289" s="342"/>
      <c r="AJ289" s="342"/>
      <c r="AK289" s="547"/>
      <c r="AL289" s="183"/>
    </row>
    <row r="290" spans="2:38" x14ac:dyDescent="0.25">
      <c r="B290" s="13" t="s">
        <v>104</v>
      </c>
      <c r="C290" s="13" t="s">
        <v>110</v>
      </c>
      <c r="D290" s="941" t="str">
        <f>'Kalkulace a Porovnání'!D290</f>
        <v>[vyplnit]</v>
      </c>
      <c r="E290" s="942"/>
      <c r="F290" s="942"/>
      <c r="G290" s="942"/>
      <c r="H290" s="943"/>
      <c r="K290" s="13" t="s">
        <v>104</v>
      </c>
      <c r="L290" s="13" t="s">
        <v>110</v>
      </c>
      <c r="M290" s="941" t="str">
        <f>'Kalkulace a Porovnání'!M290</f>
        <v xml:space="preserve"> </v>
      </c>
      <c r="N290" s="942"/>
      <c r="O290" s="942"/>
      <c r="P290" s="942"/>
      <c r="Q290" s="943"/>
      <c r="T290" s="13" t="s">
        <v>104</v>
      </c>
      <c r="U290" s="13" t="s">
        <v>110</v>
      </c>
      <c r="V290" s="949" t="str">
        <f>'Kalkulace a Porovnání'!V290</f>
        <v xml:space="preserve"> </v>
      </c>
      <c r="W290" s="738"/>
      <c r="X290" s="738"/>
      <c r="Y290" s="738"/>
      <c r="Z290" s="738"/>
      <c r="AA290" s="738"/>
      <c r="AB290" s="738"/>
      <c r="AC290" s="183"/>
      <c r="AD290" s="547"/>
      <c r="AG290" s="342"/>
      <c r="AH290" s="342"/>
      <c r="AI290" s="342"/>
      <c r="AJ290" s="342"/>
      <c r="AK290" s="547"/>
      <c r="AL290" s="183"/>
    </row>
    <row r="291" spans="2:38" x14ac:dyDescent="0.25">
      <c r="AC291" s="183"/>
      <c r="AD291" s="547"/>
      <c r="AG291" s="342"/>
      <c r="AH291" s="342"/>
      <c r="AI291" s="342"/>
      <c r="AJ291" s="342"/>
      <c r="AK291" s="547"/>
      <c r="AL291" s="183"/>
    </row>
    <row r="292" spans="2:38" x14ac:dyDescent="0.25">
      <c r="B292" s="932" t="s">
        <v>5</v>
      </c>
      <c r="C292" s="721" t="s">
        <v>0</v>
      </c>
      <c r="D292" s="722"/>
      <c r="E292" s="722"/>
      <c r="F292" s="722"/>
      <c r="G292" s="722"/>
      <c r="H292" s="725"/>
      <c r="K292" s="932" t="s">
        <v>5</v>
      </c>
      <c r="L292" s="721" t="s">
        <v>0</v>
      </c>
      <c r="M292" s="722"/>
      <c r="N292" s="722"/>
      <c r="O292" s="722"/>
      <c r="P292" s="722"/>
      <c r="Q292" s="725"/>
      <c r="T292" s="932" t="s">
        <v>5</v>
      </c>
      <c r="U292" s="721" t="s">
        <v>0</v>
      </c>
      <c r="V292" s="722"/>
      <c r="W292" s="722"/>
      <c r="X292" s="722"/>
      <c r="Y292" s="722"/>
      <c r="Z292" s="722"/>
      <c r="AA292" s="722"/>
      <c r="AB292" s="725"/>
      <c r="AC292" s="183"/>
      <c r="AD292" s="547"/>
      <c r="AG292" s="342"/>
      <c r="AH292" s="342"/>
      <c r="AI292" s="342"/>
      <c r="AJ292" s="342"/>
      <c r="AK292" s="547"/>
      <c r="AL292" s="183"/>
    </row>
    <row r="293" spans="2:38" x14ac:dyDescent="0.25">
      <c r="B293" s="930"/>
      <c r="C293" s="932" t="s">
        <v>1</v>
      </c>
      <c r="D293" s="929" t="s">
        <v>173</v>
      </c>
      <c r="E293" s="721" t="s">
        <v>3</v>
      </c>
      <c r="F293" s="722"/>
      <c r="G293" s="721" t="s">
        <v>4</v>
      </c>
      <c r="H293" s="725"/>
      <c r="K293" s="930"/>
      <c r="L293" s="932" t="s">
        <v>1</v>
      </c>
      <c r="M293" s="929" t="s">
        <v>173</v>
      </c>
      <c r="N293" s="721" t="s">
        <v>3</v>
      </c>
      <c r="O293" s="722"/>
      <c r="P293" s="721" t="s">
        <v>4</v>
      </c>
      <c r="Q293" s="725"/>
      <c r="T293" s="930"/>
      <c r="U293" s="932" t="s">
        <v>1</v>
      </c>
      <c r="V293" s="929" t="s">
        <v>173</v>
      </c>
      <c r="W293" s="721" t="s">
        <v>3</v>
      </c>
      <c r="X293" s="722"/>
      <c r="Y293" s="722"/>
      <c r="Z293" s="721" t="s">
        <v>4</v>
      </c>
      <c r="AA293" s="722"/>
      <c r="AB293" s="725"/>
      <c r="AC293" s="183"/>
      <c r="AD293" s="547"/>
      <c r="AG293" s="342"/>
      <c r="AH293" s="342"/>
      <c r="AI293" s="342"/>
      <c r="AJ293" s="342"/>
      <c r="AK293" s="547"/>
      <c r="AL293" s="183"/>
    </row>
    <row r="294" spans="2:38" x14ac:dyDescent="0.25">
      <c r="B294" s="930"/>
      <c r="C294" s="930"/>
      <c r="D294" s="930"/>
      <c r="E294" s="30">
        <f>'Kalkulace a Porovnání'!E294</f>
        <v>2023</v>
      </c>
      <c r="F294" s="30">
        <f>'Kalkulace a Porovnání'!F294</f>
        <v>2024</v>
      </c>
      <c r="G294" s="30">
        <f>'Kalkulace a Porovnání'!G294</f>
        <v>2023</v>
      </c>
      <c r="H294" s="30">
        <f>'Kalkulace a Porovnání'!H294</f>
        <v>2024</v>
      </c>
      <c r="K294" s="930"/>
      <c r="L294" s="930"/>
      <c r="M294" s="930"/>
      <c r="N294" s="30">
        <f>'Kalkulace a Porovnání'!N294</f>
        <v>2023</v>
      </c>
      <c r="O294" s="30">
        <f>'Kalkulace a Porovnání'!O294</f>
        <v>2024</v>
      </c>
      <c r="P294" s="30">
        <f>'Kalkulace a Porovnání'!P294</f>
        <v>2023</v>
      </c>
      <c r="Q294" s="30">
        <f>'Kalkulace a Porovnání'!Q294</f>
        <v>2024</v>
      </c>
      <c r="T294" s="930"/>
      <c r="U294" s="930"/>
      <c r="V294" s="930"/>
      <c r="W294" s="30">
        <f>'Kalkulace a Porovnání'!W294</f>
        <v>2024</v>
      </c>
      <c r="X294" s="30">
        <f>'Kalkulace a Porovnání'!X294</f>
        <v>2024</v>
      </c>
      <c r="Y294" s="30">
        <f>'Kalkulace a Porovnání'!Y294</f>
        <v>2024</v>
      </c>
      <c r="Z294" s="30">
        <f>'Kalkulace a Porovnání'!Z294</f>
        <v>2024</v>
      </c>
      <c r="AA294" s="30">
        <f>'Kalkulace a Porovnání'!AA294</f>
        <v>2024</v>
      </c>
      <c r="AB294" s="30">
        <f>'Kalkulace a Porovnání'!AB294</f>
        <v>2024</v>
      </c>
      <c r="AC294" s="183"/>
      <c r="AD294" s="547"/>
      <c r="AG294" s="342"/>
      <c r="AH294" s="342"/>
      <c r="AI294" s="342"/>
      <c r="AJ294" s="342"/>
      <c r="AK294" s="547"/>
      <c r="AL294" s="183"/>
    </row>
    <row r="295" spans="2:38" x14ac:dyDescent="0.25">
      <c r="B295" s="931"/>
      <c r="C295" s="931"/>
      <c r="D295" s="931"/>
      <c r="E295" s="7" t="s">
        <v>199</v>
      </c>
      <c r="F295" s="7" t="s">
        <v>114</v>
      </c>
      <c r="G295" s="7" t="s">
        <v>199</v>
      </c>
      <c r="H295" s="19" t="s">
        <v>114</v>
      </c>
      <c r="K295" s="931"/>
      <c r="L295" s="931"/>
      <c r="M295" s="931"/>
      <c r="N295" s="7" t="s">
        <v>199</v>
      </c>
      <c r="O295" s="7" t="s">
        <v>114</v>
      </c>
      <c r="P295" s="7" t="s">
        <v>199</v>
      </c>
      <c r="Q295" s="19" t="s">
        <v>114</v>
      </c>
      <c r="T295" s="931"/>
      <c r="U295" s="931"/>
      <c r="V295" s="931"/>
      <c r="W295" s="7" t="s">
        <v>198</v>
      </c>
      <c r="X295" s="7" t="s">
        <v>114</v>
      </c>
      <c r="Y295" s="7" t="s">
        <v>197</v>
      </c>
      <c r="Z295" s="7" t="s">
        <v>198</v>
      </c>
      <c r="AA295" s="7" t="s">
        <v>114</v>
      </c>
      <c r="AB295" s="19" t="s">
        <v>197</v>
      </c>
      <c r="AC295" s="183"/>
      <c r="AD295" s="547"/>
      <c r="AG295" s="342"/>
      <c r="AH295" s="342"/>
      <c r="AI295" s="342"/>
      <c r="AJ295" s="342"/>
      <c r="AK295" s="547"/>
      <c r="AL295" s="183"/>
    </row>
    <row r="296" spans="2:38" x14ac:dyDescent="0.25">
      <c r="B296" s="11">
        <v>1</v>
      </c>
      <c r="C296" s="11">
        <v>2</v>
      </c>
      <c r="D296" s="11" t="s">
        <v>111</v>
      </c>
      <c r="E296" s="11">
        <v>3</v>
      </c>
      <c r="F296" s="11">
        <v>4</v>
      </c>
      <c r="G296" s="11">
        <v>6</v>
      </c>
      <c r="H296" s="22">
        <v>7</v>
      </c>
      <c r="K296" s="11">
        <v>1</v>
      </c>
      <c r="L296" s="11">
        <v>2</v>
      </c>
      <c r="M296" s="11" t="s">
        <v>111</v>
      </c>
      <c r="N296" s="11">
        <v>3</v>
      </c>
      <c r="O296" s="11">
        <v>4</v>
      </c>
      <c r="P296" s="11">
        <v>6</v>
      </c>
      <c r="Q296" s="22">
        <v>7</v>
      </c>
      <c r="T296" s="11">
        <v>1</v>
      </c>
      <c r="U296" s="11">
        <v>2</v>
      </c>
      <c r="V296" s="11" t="s">
        <v>111</v>
      </c>
      <c r="W296" s="11">
        <v>3</v>
      </c>
      <c r="X296" s="11">
        <v>4</v>
      </c>
      <c r="Y296" s="11">
        <v>5</v>
      </c>
      <c r="Z296" s="11">
        <v>6</v>
      </c>
      <c r="AA296" s="11">
        <v>7</v>
      </c>
      <c r="AB296" s="22">
        <v>8</v>
      </c>
      <c r="AC296" s="183"/>
      <c r="AD296" s="547"/>
      <c r="AG296" s="342"/>
      <c r="AH296" s="342"/>
      <c r="AI296" s="342"/>
      <c r="AJ296" s="342"/>
      <c r="AK296" s="547"/>
      <c r="AL296" s="183"/>
    </row>
    <row r="297" spans="2:38" x14ac:dyDescent="0.25">
      <c r="B297" s="9" t="s">
        <v>8</v>
      </c>
      <c r="C297" s="10" t="s">
        <v>9</v>
      </c>
      <c r="D297" s="11" t="s">
        <v>10</v>
      </c>
      <c r="E297" s="46">
        <f>'Kalkulace a Porovnání'!E297</f>
        <v>0</v>
      </c>
      <c r="F297" s="46">
        <f>'Kalkulace a Porovnání'!F297</f>
        <v>0</v>
      </c>
      <c r="G297" s="46">
        <f>'Kalkulace a Porovnání'!G297</f>
        <v>0</v>
      </c>
      <c r="H297" s="98">
        <f>'Kalkulace a Porovnání'!H297</f>
        <v>0.28999999999999998</v>
      </c>
      <c r="K297" s="9" t="s">
        <v>8</v>
      </c>
      <c r="L297" s="10" t="s">
        <v>9</v>
      </c>
      <c r="M297" s="11" t="s">
        <v>10</v>
      </c>
      <c r="N297" s="46">
        <f>'Kalkulace a Porovnání'!N297</f>
        <v>0</v>
      </c>
      <c r="O297" s="46">
        <f>'Kalkulace a Porovnání'!O297</f>
        <v>0</v>
      </c>
      <c r="P297" s="46">
        <f>'Kalkulace a Porovnání'!P297</f>
        <v>0</v>
      </c>
      <c r="Q297" s="98">
        <f>'Kalkulace a Porovnání'!Q297</f>
        <v>0</v>
      </c>
      <c r="T297" s="9" t="s">
        <v>8</v>
      </c>
      <c r="U297" s="10" t="s">
        <v>9</v>
      </c>
      <c r="V297" s="11" t="s">
        <v>10</v>
      </c>
      <c r="W297" s="46">
        <f>'Kalkulace a Porovnání'!W297</f>
        <v>0</v>
      </c>
      <c r="X297" s="46">
        <f>'Kalkulace a Porovnání'!X297</f>
        <v>0</v>
      </c>
      <c r="Y297" s="46">
        <f>'Kalkulace a Porovnání'!Y297</f>
        <v>0</v>
      </c>
      <c r="Z297" s="46">
        <f>'Kalkulace a Porovnání'!Z297</f>
        <v>0</v>
      </c>
      <c r="AA297" s="46">
        <f>'Kalkulace a Porovnání'!AA297</f>
        <v>0.28999999999999998</v>
      </c>
      <c r="AB297" s="98">
        <f>'Kalkulace a Porovnání'!AB297</f>
        <v>-0.28999999999999998</v>
      </c>
      <c r="AC297" s="183"/>
      <c r="AD297" s="547"/>
      <c r="AG297" s="342"/>
      <c r="AH297" s="342"/>
      <c r="AI297" s="342"/>
      <c r="AJ297" s="342"/>
      <c r="AK297" s="547"/>
      <c r="AL297" s="183"/>
    </row>
    <row r="298" spans="2:38" x14ac:dyDescent="0.25">
      <c r="B298" s="12" t="s">
        <v>11</v>
      </c>
      <c r="C298" s="13" t="s">
        <v>12</v>
      </c>
      <c r="D298" s="3" t="s">
        <v>10</v>
      </c>
      <c r="E298" s="49">
        <f>'Kalkulace a Porovnání'!E298</f>
        <v>0</v>
      </c>
      <c r="F298" s="49">
        <f>'Kalkulace a Porovnání'!F298</f>
        <v>0</v>
      </c>
      <c r="G298" s="49">
        <f>'Kalkulace a Porovnání'!G298</f>
        <v>0</v>
      </c>
      <c r="H298" s="32">
        <f>'Kalkulace a Porovnání'!H298</f>
        <v>0</v>
      </c>
      <c r="K298" s="12" t="s">
        <v>11</v>
      </c>
      <c r="L298" s="13" t="s">
        <v>12</v>
      </c>
      <c r="M298" s="3" t="s">
        <v>10</v>
      </c>
      <c r="N298" s="49">
        <f>'Kalkulace a Porovnání'!N298</f>
        <v>0</v>
      </c>
      <c r="O298" s="49">
        <f>'Kalkulace a Porovnání'!O298</f>
        <v>0</v>
      </c>
      <c r="P298" s="49">
        <f>'Kalkulace a Porovnání'!P298</f>
        <v>0</v>
      </c>
      <c r="Q298" s="32">
        <f>'Kalkulace a Porovnání'!Q298</f>
        <v>0</v>
      </c>
      <c r="T298" s="12" t="s">
        <v>11</v>
      </c>
      <c r="U298" s="13" t="s">
        <v>12</v>
      </c>
      <c r="V298" s="3" t="s">
        <v>10</v>
      </c>
      <c r="W298" s="49">
        <f>'Kalkulace a Porovnání'!W298</f>
        <v>0</v>
      </c>
      <c r="X298" s="49">
        <f>'Kalkulace a Porovnání'!X298</f>
        <v>0</v>
      </c>
      <c r="Y298" s="49">
        <f>'Kalkulace a Porovnání'!Y298</f>
        <v>0</v>
      </c>
      <c r="Z298" s="49">
        <f>'Kalkulace a Porovnání'!Z298</f>
        <v>0</v>
      </c>
      <c r="AA298" s="49">
        <f>'Kalkulace a Porovnání'!AA298</f>
        <v>0</v>
      </c>
      <c r="AB298" s="32">
        <f>'Kalkulace a Porovnání'!AB298</f>
        <v>0</v>
      </c>
      <c r="AC298" s="183"/>
      <c r="AD298" s="547"/>
      <c r="AG298" s="342"/>
      <c r="AH298" s="342"/>
      <c r="AI298" s="342"/>
      <c r="AJ298" s="342"/>
      <c r="AK298" s="547"/>
      <c r="AL298" s="183"/>
    </row>
    <row r="299" spans="2:38" x14ac:dyDescent="0.25">
      <c r="B299" s="12" t="s">
        <v>13</v>
      </c>
      <c r="C299" s="12" t="s">
        <v>14</v>
      </c>
      <c r="D299" s="3" t="s">
        <v>10</v>
      </c>
      <c r="E299" s="49">
        <f>'Kalkulace a Porovnání'!E299</f>
        <v>0</v>
      </c>
      <c r="F299" s="49">
        <f>'Kalkulace a Porovnání'!F299</f>
        <v>0</v>
      </c>
      <c r="G299" s="49">
        <f>'Kalkulace a Porovnání'!G299</f>
        <v>0</v>
      </c>
      <c r="H299" s="32">
        <f>'Kalkulace a Porovnání'!H299</f>
        <v>0.28999999999999998</v>
      </c>
      <c r="K299" s="12" t="s">
        <v>13</v>
      </c>
      <c r="L299" s="12" t="s">
        <v>14</v>
      </c>
      <c r="M299" s="3" t="s">
        <v>10</v>
      </c>
      <c r="N299" s="49">
        <f>'Kalkulace a Porovnání'!N299</f>
        <v>0</v>
      </c>
      <c r="O299" s="49">
        <f>'Kalkulace a Porovnání'!O299</f>
        <v>0</v>
      </c>
      <c r="P299" s="49">
        <f>'Kalkulace a Porovnání'!P299</f>
        <v>0</v>
      </c>
      <c r="Q299" s="32">
        <f>'Kalkulace a Porovnání'!Q299</f>
        <v>0</v>
      </c>
      <c r="T299" s="12" t="s">
        <v>13</v>
      </c>
      <c r="U299" s="12" t="s">
        <v>14</v>
      </c>
      <c r="V299" s="3" t="s">
        <v>10</v>
      </c>
      <c r="W299" s="49">
        <f>'Kalkulace a Porovnání'!W299</f>
        <v>0</v>
      </c>
      <c r="X299" s="49">
        <f>'Kalkulace a Porovnání'!X299</f>
        <v>0</v>
      </c>
      <c r="Y299" s="49">
        <f>'Kalkulace a Porovnání'!Y299</f>
        <v>0</v>
      </c>
      <c r="Z299" s="49">
        <f>'Kalkulace a Porovnání'!Z299</f>
        <v>0</v>
      </c>
      <c r="AA299" s="49">
        <f>'Kalkulace a Porovnání'!AA299</f>
        <v>0.28999999999999998</v>
      </c>
      <c r="AB299" s="32">
        <f>'Kalkulace a Porovnání'!AB299</f>
        <v>-0.28999999999999998</v>
      </c>
      <c r="AC299" s="183"/>
      <c r="AD299" s="547"/>
      <c r="AG299" s="342"/>
      <c r="AH299" s="342"/>
      <c r="AI299" s="342"/>
      <c r="AJ299" s="342"/>
      <c r="AK299" s="547"/>
      <c r="AL299" s="183"/>
    </row>
    <row r="300" spans="2:38" x14ac:dyDescent="0.25">
      <c r="B300" s="12" t="s">
        <v>15</v>
      </c>
      <c r="C300" s="13" t="s">
        <v>16</v>
      </c>
      <c r="D300" s="3" t="s">
        <v>10</v>
      </c>
      <c r="E300" s="49">
        <f>'Kalkulace a Porovnání'!E300</f>
        <v>0</v>
      </c>
      <c r="F300" s="49">
        <f>'Kalkulace a Porovnání'!F300</f>
        <v>0</v>
      </c>
      <c r="G300" s="49">
        <f>'Kalkulace a Porovnání'!G300</f>
        <v>0</v>
      </c>
      <c r="H300" s="32">
        <f>'Kalkulace a Porovnání'!H300</f>
        <v>0</v>
      </c>
      <c r="K300" s="12" t="s">
        <v>15</v>
      </c>
      <c r="L300" s="13" t="s">
        <v>16</v>
      </c>
      <c r="M300" s="3" t="s">
        <v>10</v>
      </c>
      <c r="N300" s="49">
        <f>'Kalkulace a Porovnání'!N300</f>
        <v>0</v>
      </c>
      <c r="O300" s="49">
        <f>'Kalkulace a Porovnání'!O300</f>
        <v>0</v>
      </c>
      <c r="P300" s="49">
        <f>'Kalkulace a Porovnání'!P300</f>
        <v>0</v>
      </c>
      <c r="Q300" s="32">
        <f>'Kalkulace a Porovnání'!Q300</f>
        <v>0</v>
      </c>
      <c r="T300" s="12" t="s">
        <v>15</v>
      </c>
      <c r="U300" s="13" t="s">
        <v>16</v>
      </c>
      <c r="V300" s="3" t="s">
        <v>10</v>
      </c>
      <c r="W300" s="49">
        <f>'Kalkulace a Porovnání'!W300</f>
        <v>0</v>
      </c>
      <c r="X300" s="49">
        <f>'Kalkulace a Porovnání'!X300</f>
        <v>0</v>
      </c>
      <c r="Y300" s="49">
        <f>'Kalkulace a Porovnání'!Y300</f>
        <v>0</v>
      </c>
      <c r="Z300" s="49">
        <f>'Kalkulace a Porovnání'!Z300</f>
        <v>0</v>
      </c>
      <c r="AA300" s="49">
        <f>'Kalkulace a Porovnání'!AA300</f>
        <v>0</v>
      </c>
      <c r="AB300" s="32">
        <f>'Kalkulace a Porovnání'!AB300</f>
        <v>0</v>
      </c>
      <c r="AC300" s="183"/>
      <c r="AD300" s="547"/>
      <c r="AG300" s="342"/>
      <c r="AH300" s="342"/>
      <c r="AI300" s="342"/>
      <c r="AJ300" s="342"/>
      <c r="AK300" s="547"/>
      <c r="AL300" s="183"/>
    </row>
    <row r="301" spans="2:38" x14ac:dyDescent="0.25">
      <c r="B301" s="12" t="s">
        <v>17</v>
      </c>
      <c r="C301" s="13" t="s">
        <v>18</v>
      </c>
      <c r="D301" s="3" t="s">
        <v>10</v>
      </c>
      <c r="E301" s="49">
        <f>'Kalkulace a Porovnání'!E301</f>
        <v>0</v>
      </c>
      <c r="F301" s="49">
        <f>'Kalkulace a Porovnání'!F301</f>
        <v>0</v>
      </c>
      <c r="G301" s="49">
        <f>'Kalkulace a Porovnání'!G301</f>
        <v>0</v>
      </c>
      <c r="H301" s="32">
        <f>'Kalkulace a Porovnání'!H301</f>
        <v>0</v>
      </c>
      <c r="K301" s="12" t="s">
        <v>17</v>
      </c>
      <c r="L301" s="13" t="s">
        <v>18</v>
      </c>
      <c r="M301" s="3" t="s">
        <v>10</v>
      </c>
      <c r="N301" s="49">
        <f>'Kalkulace a Porovnání'!N301</f>
        <v>0</v>
      </c>
      <c r="O301" s="49">
        <f>'Kalkulace a Porovnání'!O301</f>
        <v>0</v>
      </c>
      <c r="P301" s="49">
        <f>'Kalkulace a Porovnání'!P301</f>
        <v>0</v>
      </c>
      <c r="Q301" s="32">
        <f>'Kalkulace a Porovnání'!Q301</f>
        <v>0</v>
      </c>
      <c r="T301" s="12" t="s">
        <v>17</v>
      </c>
      <c r="U301" s="13" t="s">
        <v>18</v>
      </c>
      <c r="V301" s="3" t="s">
        <v>10</v>
      </c>
      <c r="W301" s="49">
        <f>'Kalkulace a Porovnání'!W301</f>
        <v>0</v>
      </c>
      <c r="X301" s="49">
        <f>'Kalkulace a Porovnání'!X301</f>
        <v>0</v>
      </c>
      <c r="Y301" s="49">
        <f>'Kalkulace a Porovnání'!Y301</f>
        <v>0</v>
      </c>
      <c r="Z301" s="49">
        <f>'Kalkulace a Porovnání'!Z301</f>
        <v>0</v>
      </c>
      <c r="AA301" s="49">
        <f>'Kalkulace a Porovnání'!AA301</f>
        <v>0</v>
      </c>
      <c r="AB301" s="32">
        <f>'Kalkulace a Porovnání'!AB301</f>
        <v>0</v>
      </c>
      <c r="AC301" s="183"/>
      <c r="AD301" s="547"/>
      <c r="AG301" s="342"/>
      <c r="AH301" s="342"/>
      <c r="AI301" s="342"/>
      <c r="AJ301" s="342"/>
      <c r="AK301" s="547"/>
      <c r="AL301" s="183"/>
    </row>
    <row r="302" spans="2:38" x14ac:dyDescent="0.25">
      <c r="B302" s="9" t="s">
        <v>19</v>
      </c>
      <c r="C302" s="10" t="s">
        <v>20</v>
      </c>
      <c r="D302" s="11" t="s">
        <v>10</v>
      </c>
      <c r="E302" s="46">
        <f>'Kalkulace a Porovnání'!E302</f>
        <v>0</v>
      </c>
      <c r="F302" s="46">
        <f>'Kalkulace a Porovnání'!F302</f>
        <v>0</v>
      </c>
      <c r="G302" s="46">
        <f>'Kalkulace a Porovnání'!G302</f>
        <v>0</v>
      </c>
      <c r="H302" s="98">
        <f>'Kalkulace a Porovnání'!H302</f>
        <v>0</v>
      </c>
      <c r="K302" s="9" t="s">
        <v>19</v>
      </c>
      <c r="L302" s="10" t="s">
        <v>20</v>
      </c>
      <c r="M302" s="11" t="s">
        <v>10</v>
      </c>
      <c r="N302" s="46">
        <f>'Kalkulace a Porovnání'!N302</f>
        <v>0</v>
      </c>
      <c r="O302" s="46">
        <f>'Kalkulace a Porovnání'!O302</f>
        <v>0</v>
      </c>
      <c r="P302" s="46">
        <f>'Kalkulace a Porovnání'!P302</f>
        <v>0</v>
      </c>
      <c r="Q302" s="98">
        <f>'Kalkulace a Porovnání'!Q302</f>
        <v>0</v>
      </c>
      <c r="T302" s="9" t="s">
        <v>19</v>
      </c>
      <c r="U302" s="10" t="s">
        <v>20</v>
      </c>
      <c r="V302" s="11" t="s">
        <v>10</v>
      </c>
      <c r="W302" s="46">
        <f>'Kalkulace a Porovnání'!W302</f>
        <v>0</v>
      </c>
      <c r="X302" s="46">
        <f>'Kalkulace a Porovnání'!X302</f>
        <v>0</v>
      </c>
      <c r="Y302" s="46">
        <f>'Kalkulace a Porovnání'!Y302</f>
        <v>0</v>
      </c>
      <c r="Z302" s="46">
        <f>'Kalkulace a Porovnání'!Z302</f>
        <v>0</v>
      </c>
      <c r="AA302" s="46">
        <f>'Kalkulace a Porovnání'!AA302</f>
        <v>0</v>
      </c>
      <c r="AB302" s="98">
        <f>'Kalkulace a Porovnání'!AB302</f>
        <v>0</v>
      </c>
      <c r="AC302" s="183"/>
      <c r="AD302" s="547"/>
      <c r="AG302" s="342"/>
      <c r="AH302" s="342"/>
      <c r="AI302" s="342"/>
      <c r="AJ302" s="342"/>
      <c r="AK302" s="547"/>
      <c r="AL302" s="183"/>
    </row>
    <row r="303" spans="2:38" x14ac:dyDescent="0.25">
      <c r="B303" s="12" t="s">
        <v>21</v>
      </c>
      <c r="C303" s="12" t="s">
        <v>22</v>
      </c>
      <c r="D303" s="3" t="s">
        <v>10</v>
      </c>
      <c r="E303" s="49">
        <f>'Kalkulace a Porovnání'!E303</f>
        <v>0</v>
      </c>
      <c r="F303" s="49">
        <f>'Kalkulace a Porovnání'!F303</f>
        <v>0</v>
      </c>
      <c r="G303" s="49">
        <f>'Kalkulace a Porovnání'!G303</f>
        <v>0</v>
      </c>
      <c r="H303" s="32">
        <f>'Kalkulace a Porovnání'!H303</f>
        <v>0</v>
      </c>
      <c r="K303" s="12" t="s">
        <v>21</v>
      </c>
      <c r="L303" s="12" t="s">
        <v>22</v>
      </c>
      <c r="M303" s="3" t="s">
        <v>10</v>
      </c>
      <c r="N303" s="49">
        <f>'Kalkulace a Porovnání'!N303</f>
        <v>0</v>
      </c>
      <c r="O303" s="49">
        <f>'Kalkulace a Porovnání'!O303</f>
        <v>0</v>
      </c>
      <c r="P303" s="49">
        <f>'Kalkulace a Porovnání'!P303</f>
        <v>0</v>
      </c>
      <c r="Q303" s="32">
        <f>'Kalkulace a Porovnání'!Q303</f>
        <v>0</v>
      </c>
      <c r="T303" s="12" t="s">
        <v>21</v>
      </c>
      <c r="U303" s="12" t="s">
        <v>22</v>
      </c>
      <c r="V303" s="3" t="s">
        <v>10</v>
      </c>
      <c r="W303" s="49">
        <f>'Kalkulace a Porovnání'!W303</f>
        <v>0</v>
      </c>
      <c r="X303" s="49">
        <f>'Kalkulace a Porovnání'!X303</f>
        <v>0</v>
      </c>
      <c r="Y303" s="49">
        <f>'Kalkulace a Porovnání'!Y303</f>
        <v>0</v>
      </c>
      <c r="Z303" s="49">
        <f>'Kalkulace a Porovnání'!Z303</f>
        <v>0</v>
      </c>
      <c r="AA303" s="49">
        <f>'Kalkulace a Porovnání'!AA303</f>
        <v>0</v>
      </c>
      <c r="AB303" s="32">
        <f>'Kalkulace a Porovnání'!AB303</f>
        <v>0</v>
      </c>
      <c r="AC303" s="183"/>
      <c r="AD303" s="547"/>
      <c r="AG303" s="342"/>
      <c r="AH303" s="342"/>
      <c r="AI303" s="342"/>
      <c r="AJ303" s="342"/>
      <c r="AK303" s="547"/>
      <c r="AL303" s="183"/>
    </row>
    <row r="304" spans="2:38" x14ac:dyDescent="0.25">
      <c r="B304" s="12" t="s">
        <v>23</v>
      </c>
      <c r="C304" s="12" t="s">
        <v>24</v>
      </c>
      <c r="D304" s="3" t="s">
        <v>10</v>
      </c>
      <c r="E304" s="49">
        <f>'Kalkulace a Porovnání'!E304</f>
        <v>0</v>
      </c>
      <c r="F304" s="49">
        <f>'Kalkulace a Porovnání'!F304</f>
        <v>0</v>
      </c>
      <c r="G304" s="49">
        <f>'Kalkulace a Porovnání'!G304</f>
        <v>0</v>
      </c>
      <c r="H304" s="32">
        <f>'Kalkulace a Porovnání'!H304</f>
        <v>0</v>
      </c>
      <c r="K304" s="12" t="s">
        <v>23</v>
      </c>
      <c r="L304" s="12" t="s">
        <v>24</v>
      </c>
      <c r="M304" s="3" t="s">
        <v>10</v>
      </c>
      <c r="N304" s="49">
        <f>'Kalkulace a Porovnání'!N304</f>
        <v>0</v>
      </c>
      <c r="O304" s="49">
        <f>'Kalkulace a Porovnání'!O304</f>
        <v>0</v>
      </c>
      <c r="P304" s="49">
        <f>'Kalkulace a Porovnání'!P304</f>
        <v>0</v>
      </c>
      <c r="Q304" s="32">
        <f>'Kalkulace a Porovnání'!Q304</f>
        <v>0</v>
      </c>
      <c r="T304" s="12" t="s">
        <v>23</v>
      </c>
      <c r="U304" s="12" t="s">
        <v>24</v>
      </c>
      <c r="V304" s="3" t="s">
        <v>10</v>
      </c>
      <c r="W304" s="49">
        <f>'Kalkulace a Porovnání'!W304</f>
        <v>0</v>
      </c>
      <c r="X304" s="49">
        <f>'Kalkulace a Porovnání'!X304</f>
        <v>0</v>
      </c>
      <c r="Y304" s="49">
        <f>'Kalkulace a Porovnání'!Y304</f>
        <v>0</v>
      </c>
      <c r="Z304" s="49">
        <f>'Kalkulace a Porovnání'!Z304</f>
        <v>0</v>
      </c>
      <c r="AA304" s="49">
        <f>'Kalkulace a Porovnání'!AA304</f>
        <v>0</v>
      </c>
      <c r="AB304" s="32">
        <f>'Kalkulace a Porovnání'!AB304</f>
        <v>0</v>
      </c>
      <c r="AC304" s="183"/>
      <c r="AD304" s="547"/>
      <c r="AG304" s="342"/>
      <c r="AH304" s="342"/>
      <c r="AI304" s="342"/>
      <c r="AJ304" s="342"/>
      <c r="AK304" s="547"/>
      <c r="AL304" s="183"/>
    </row>
    <row r="305" spans="2:38" x14ac:dyDescent="0.25">
      <c r="B305" s="9" t="s">
        <v>25</v>
      </c>
      <c r="C305" s="10" t="s">
        <v>26</v>
      </c>
      <c r="D305" s="11" t="s">
        <v>10</v>
      </c>
      <c r="E305" s="46">
        <f>'Kalkulace a Porovnání'!E305</f>
        <v>0</v>
      </c>
      <c r="F305" s="46">
        <f>'Kalkulace a Porovnání'!F305</f>
        <v>0</v>
      </c>
      <c r="G305" s="46">
        <f>'Kalkulace a Porovnání'!G305</f>
        <v>0</v>
      </c>
      <c r="H305" s="98">
        <f>'Kalkulace a Porovnání'!H305</f>
        <v>0</v>
      </c>
      <c r="K305" s="9" t="s">
        <v>25</v>
      </c>
      <c r="L305" s="10" t="s">
        <v>26</v>
      </c>
      <c r="M305" s="11" t="s">
        <v>10</v>
      </c>
      <c r="N305" s="46">
        <f>'Kalkulace a Porovnání'!N305</f>
        <v>0</v>
      </c>
      <c r="O305" s="46">
        <f>'Kalkulace a Porovnání'!O305</f>
        <v>0</v>
      </c>
      <c r="P305" s="46">
        <f>'Kalkulace a Porovnání'!P305</f>
        <v>0</v>
      </c>
      <c r="Q305" s="98">
        <f>'Kalkulace a Porovnání'!Q305</f>
        <v>0</v>
      </c>
      <c r="T305" s="9" t="s">
        <v>25</v>
      </c>
      <c r="U305" s="10" t="s">
        <v>26</v>
      </c>
      <c r="V305" s="11" t="s">
        <v>10</v>
      </c>
      <c r="W305" s="46">
        <f>'Kalkulace a Porovnání'!W305</f>
        <v>0</v>
      </c>
      <c r="X305" s="46">
        <f>'Kalkulace a Porovnání'!X305</f>
        <v>0</v>
      </c>
      <c r="Y305" s="46">
        <f>'Kalkulace a Porovnání'!Y305</f>
        <v>0</v>
      </c>
      <c r="Z305" s="46">
        <f>'Kalkulace a Porovnání'!Z305</f>
        <v>0</v>
      </c>
      <c r="AA305" s="46">
        <f>'Kalkulace a Porovnání'!AA305</f>
        <v>0</v>
      </c>
      <c r="AB305" s="98">
        <f>'Kalkulace a Porovnání'!AB305</f>
        <v>0</v>
      </c>
      <c r="AC305" s="183"/>
      <c r="AD305" s="547"/>
      <c r="AG305" s="342"/>
      <c r="AH305" s="342"/>
      <c r="AI305" s="342"/>
      <c r="AJ305" s="342"/>
      <c r="AK305" s="547"/>
      <c r="AL305" s="183"/>
    </row>
    <row r="306" spans="2:38" x14ac:dyDescent="0.25">
      <c r="B306" s="12" t="s">
        <v>27</v>
      </c>
      <c r="C306" s="13" t="s">
        <v>28</v>
      </c>
      <c r="D306" s="3" t="s">
        <v>10</v>
      </c>
      <c r="E306" s="49">
        <f>'Kalkulace a Porovnání'!E306</f>
        <v>0</v>
      </c>
      <c r="F306" s="49">
        <f>'Kalkulace a Porovnání'!F306</f>
        <v>0</v>
      </c>
      <c r="G306" s="49">
        <f>'Kalkulace a Porovnání'!G306</f>
        <v>0</v>
      </c>
      <c r="H306" s="32">
        <f>'Kalkulace a Porovnání'!H306</f>
        <v>0</v>
      </c>
      <c r="K306" s="12" t="s">
        <v>27</v>
      </c>
      <c r="L306" s="13" t="s">
        <v>28</v>
      </c>
      <c r="M306" s="3" t="s">
        <v>10</v>
      </c>
      <c r="N306" s="49">
        <f>'Kalkulace a Porovnání'!N306</f>
        <v>0</v>
      </c>
      <c r="O306" s="49">
        <f>'Kalkulace a Porovnání'!O306</f>
        <v>0</v>
      </c>
      <c r="P306" s="49">
        <f>'Kalkulace a Porovnání'!P306</f>
        <v>0</v>
      </c>
      <c r="Q306" s="32">
        <f>'Kalkulace a Porovnání'!Q306</f>
        <v>0</v>
      </c>
      <c r="T306" s="12" t="s">
        <v>27</v>
      </c>
      <c r="U306" s="13" t="s">
        <v>28</v>
      </c>
      <c r="V306" s="3" t="s">
        <v>10</v>
      </c>
      <c r="W306" s="49">
        <f>'Kalkulace a Porovnání'!W306</f>
        <v>0</v>
      </c>
      <c r="X306" s="49">
        <f>'Kalkulace a Porovnání'!X306</f>
        <v>0</v>
      </c>
      <c r="Y306" s="49">
        <f>'Kalkulace a Porovnání'!Y306</f>
        <v>0</v>
      </c>
      <c r="Z306" s="49">
        <f>'Kalkulace a Porovnání'!Z306</f>
        <v>0</v>
      </c>
      <c r="AA306" s="49">
        <f>'Kalkulace a Porovnání'!AA306</f>
        <v>0</v>
      </c>
      <c r="AB306" s="32">
        <f>'Kalkulace a Porovnání'!AB306</f>
        <v>0</v>
      </c>
      <c r="AC306" s="183"/>
      <c r="AD306" s="547"/>
      <c r="AG306" s="342"/>
      <c r="AH306" s="342"/>
      <c r="AI306" s="342"/>
      <c r="AJ306" s="342"/>
      <c r="AK306" s="547"/>
      <c r="AL306" s="183"/>
    </row>
    <row r="307" spans="2:38" x14ac:dyDescent="0.25">
      <c r="B307" s="12" t="s">
        <v>29</v>
      </c>
      <c r="C307" s="13" t="s">
        <v>30</v>
      </c>
      <c r="D307" s="3" t="s">
        <v>10</v>
      </c>
      <c r="E307" s="49">
        <f>'Kalkulace a Porovnání'!E307</f>
        <v>0</v>
      </c>
      <c r="F307" s="49">
        <f>'Kalkulace a Porovnání'!F307</f>
        <v>0</v>
      </c>
      <c r="G307" s="49">
        <f>'Kalkulace a Porovnání'!G307</f>
        <v>0</v>
      </c>
      <c r="H307" s="32">
        <f>'Kalkulace a Porovnání'!H307</f>
        <v>0</v>
      </c>
      <c r="K307" s="12" t="s">
        <v>29</v>
      </c>
      <c r="L307" s="13" t="s">
        <v>30</v>
      </c>
      <c r="M307" s="3" t="s">
        <v>10</v>
      </c>
      <c r="N307" s="49">
        <f>'Kalkulace a Porovnání'!N307</f>
        <v>0</v>
      </c>
      <c r="O307" s="49">
        <f>'Kalkulace a Porovnání'!O307</f>
        <v>0</v>
      </c>
      <c r="P307" s="49">
        <f>'Kalkulace a Porovnání'!P307</f>
        <v>0</v>
      </c>
      <c r="Q307" s="32">
        <f>'Kalkulace a Porovnání'!Q307</f>
        <v>0</v>
      </c>
      <c r="T307" s="12" t="s">
        <v>29</v>
      </c>
      <c r="U307" s="13" t="s">
        <v>30</v>
      </c>
      <c r="V307" s="3" t="s">
        <v>10</v>
      </c>
      <c r="W307" s="49">
        <f>'Kalkulace a Porovnání'!W307</f>
        <v>0</v>
      </c>
      <c r="X307" s="49">
        <f>'Kalkulace a Porovnání'!X307</f>
        <v>0</v>
      </c>
      <c r="Y307" s="49">
        <f>'Kalkulace a Porovnání'!Y307</f>
        <v>0</v>
      </c>
      <c r="Z307" s="49">
        <f>'Kalkulace a Porovnání'!Z307</f>
        <v>0</v>
      </c>
      <c r="AA307" s="49">
        <f>'Kalkulace a Porovnání'!AA307</f>
        <v>0</v>
      </c>
      <c r="AB307" s="32">
        <f>'Kalkulace a Porovnání'!AB307</f>
        <v>0</v>
      </c>
      <c r="AC307" s="183"/>
      <c r="AD307" s="547"/>
      <c r="AG307" s="342"/>
      <c r="AH307" s="342"/>
      <c r="AI307" s="342"/>
      <c r="AJ307" s="342"/>
      <c r="AK307" s="547"/>
      <c r="AL307" s="183"/>
    </row>
    <row r="308" spans="2:38" x14ac:dyDescent="0.25">
      <c r="B308" s="9" t="s">
        <v>31</v>
      </c>
      <c r="C308" s="10" t="s">
        <v>32</v>
      </c>
      <c r="D308" s="11" t="s">
        <v>10</v>
      </c>
      <c r="E308" s="46">
        <f>'Kalkulace a Porovnání'!E308</f>
        <v>0</v>
      </c>
      <c r="F308" s="46">
        <f>'Kalkulace a Porovnání'!F308</f>
        <v>0</v>
      </c>
      <c r="G308" s="46">
        <f>'Kalkulace a Porovnání'!G308</f>
        <v>0</v>
      </c>
      <c r="H308" s="98">
        <f>'Kalkulace a Porovnání'!H308</f>
        <v>0.15</v>
      </c>
      <c r="K308" s="9" t="s">
        <v>31</v>
      </c>
      <c r="L308" s="10" t="s">
        <v>32</v>
      </c>
      <c r="M308" s="11" t="s">
        <v>10</v>
      </c>
      <c r="N308" s="46">
        <f>'Kalkulace a Porovnání'!N308</f>
        <v>0</v>
      </c>
      <c r="O308" s="46">
        <f>'Kalkulace a Porovnání'!O308</f>
        <v>0</v>
      </c>
      <c r="P308" s="46">
        <f>'Kalkulace a Porovnání'!P308</f>
        <v>0</v>
      </c>
      <c r="Q308" s="98">
        <f>'Kalkulace a Porovnání'!Q308</f>
        <v>0</v>
      </c>
      <c r="T308" s="9" t="s">
        <v>31</v>
      </c>
      <c r="U308" s="10" t="s">
        <v>32</v>
      </c>
      <c r="V308" s="11" t="s">
        <v>10</v>
      </c>
      <c r="W308" s="46">
        <f>'Kalkulace a Porovnání'!W308</f>
        <v>0</v>
      </c>
      <c r="X308" s="46">
        <f>'Kalkulace a Porovnání'!X308</f>
        <v>0</v>
      </c>
      <c r="Y308" s="46">
        <f>'Kalkulace a Porovnání'!Y308</f>
        <v>0</v>
      </c>
      <c r="Z308" s="46">
        <f>'Kalkulace a Porovnání'!Z308</f>
        <v>0</v>
      </c>
      <c r="AA308" s="46">
        <f>'Kalkulace a Porovnání'!AA308</f>
        <v>0.15</v>
      </c>
      <c r="AB308" s="98">
        <f>'Kalkulace a Porovnání'!AB308</f>
        <v>-0.15</v>
      </c>
      <c r="AC308" s="183"/>
      <c r="AD308" s="547"/>
      <c r="AG308" s="342"/>
      <c r="AH308" s="342"/>
      <c r="AI308" s="342"/>
      <c r="AJ308" s="342"/>
      <c r="AK308" s="547"/>
      <c r="AL308" s="183"/>
    </row>
    <row r="309" spans="2:38" x14ac:dyDescent="0.25">
      <c r="B309" s="12" t="s">
        <v>33</v>
      </c>
      <c r="C309" s="21" t="s">
        <v>34</v>
      </c>
      <c r="D309" s="3" t="s">
        <v>10</v>
      </c>
      <c r="E309" s="49">
        <f>'Kalkulace a Porovnání'!E309</f>
        <v>0</v>
      </c>
      <c r="F309" s="49">
        <f>'Kalkulace a Porovnání'!F309</f>
        <v>0</v>
      </c>
      <c r="G309" s="49">
        <f>'Kalkulace a Porovnání'!G309</f>
        <v>0</v>
      </c>
      <c r="H309" s="32">
        <f>'Kalkulace a Porovnání'!H309</f>
        <v>0</v>
      </c>
      <c r="K309" s="12" t="s">
        <v>33</v>
      </c>
      <c r="L309" s="21" t="s">
        <v>34</v>
      </c>
      <c r="M309" s="3" t="s">
        <v>10</v>
      </c>
      <c r="N309" s="49">
        <f>'Kalkulace a Porovnání'!N309</f>
        <v>0</v>
      </c>
      <c r="O309" s="49">
        <f>'Kalkulace a Porovnání'!O309</f>
        <v>0</v>
      </c>
      <c r="P309" s="49">
        <f>'Kalkulace a Porovnání'!P309</f>
        <v>0</v>
      </c>
      <c r="Q309" s="32">
        <f>'Kalkulace a Porovnání'!Q309</f>
        <v>0</v>
      </c>
      <c r="T309" s="12" t="s">
        <v>33</v>
      </c>
      <c r="U309" s="21" t="s">
        <v>34</v>
      </c>
      <c r="V309" s="3" t="s">
        <v>10</v>
      </c>
      <c r="W309" s="49">
        <f>'Kalkulace a Porovnání'!W309</f>
        <v>0</v>
      </c>
      <c r="X309" s="49">
        <f>'Kalkulace a Porovnání'!X309</f>
        <v>0</v>
      </c>
      <c r="Y309" s="49">
        <f>'Kalkulace a Porovnání'!Y309</f>
        <v>0</v>
      </c>
      <c r="Z309" s="49">
        <f>'Kalkulace a Porovnání'!Z309</f>
        <v>0</v>
      </c>
      <c r="AA309" s="49">
        <f>'Kalkulace a Porovnání'!AA309</f>
        <v>0</v>
      </c>
      <c r="AB309" s="32">
        <f>'Kalkulace a Porovnání'!AB309</f>
        <v>0</v>
      </c>
      <c r="AC309" s="183"/>
      <c r="AD309" s="547"/>
      <c r="AG309" s="547"/>
      <c r="AH309" s="547"/>
      <c r="AI309" s="342"/>
      <c r="AJ309" s="342"/>
      <c r="AK309" s="547"/>
      <c r="AL309" s="183"/>
    </row>
    <row r="310" spans="2:38" x14ac:dyDescent="0.25">
      <c r="B310" s="12" t="s">
        <v>35</v>
      </c>
      <c r="C310" s="13" t="s">
        <v>36</v>
      </c>
      <c r="D310" s="3" t="s">
        <v>10</v>
      </c>
      <c r="E310" s="49">
        <f>'Kalkulace a Porovnání'!E310</f>
        <v>0</v>
      </c>
      <c r="F310" s="49">
        <f>'Kalkulace a Porovnání'!F310</f>
        <v>0</v>
      </c>
      <c r="G310" s="49">
        <f>'Kalkulace a Porovnání'!G310</f>
        <v>0</v>
      </c>
      <c r="H310" s="32">
        <f>'Kalkulace a Porovnání'!H310</f>
        <v>0</v>
      </c>
      <c r="K310" s="12" t="s">
        <v>35</v>
      </c>
      <c r="L310" s="13" t="s">
        <v>36</v>
      </c>
      <c r="M310" s="3" t="s">
        <v>10</v>
      </c>
      <c r="N310" s="49">
        <f>'Kalkulace a Porovnání'!N310</f>
        <v>0</v>
      </c>
      <c r="O310" s="49">
        <f>'Kalkulace a Porovnání'!O310</f>
        <v>0</v>
      </c>
      <c r="P310" s="49">
        <f>'Kalkulace a Porovnání'!P310</f>
        <v>0</v>
      </c>
      <c r="Q310" s="32">
        <f>'Kalkulace a Porovnání'!Q310</f>
        <v>0</v>
      </c>
      <c r="T310" s="12" t="s">
        <v>35</v>
      </c>
      <c r="U310" s="13" t="s">
        <v>36</v>
      </c>
      <c r="V310" s="3" t="s">
        <v>10</v>
      </c>
      <c r="W310" s="49">
        <f>'Kalkulace a Porovnání'!W310</f>
        <v>0</v>
      </c>
      <c r="X310" s="49">
        <f>'Kalkulace a Porovnání'!X310</f>
        <v>0</v>
      </c>
      <c r="Y310" s="49">
        <f>'Kalkulace a Porovnání'!Y310</f>
        <v>0</v>
      </c>
      <c r="Z310" s="49">
        <f>'Kalkulace a Porovnání'!Z310</f>
        <v>0</v>
      </c>
      <c r="AA310" s="49">
        <f>'Kalkulace a Porovnání'!AA310</f>
        <v>0</v>
      </c>
      <c r="AB310" s="32">
        <f>'Kalkulace a Porovnání'!AB310</f>
        <v>0</v>
      </c>
      <c r="AC310" s="183"/>
      <c r="AD310" s="547"/>
      <c r="AG310" s="547"/>
      <c r="AH310" s="547"/>
      <c r="AI310" s="342"/>
      <c r="AJ310" s="342"/>
      <c r="AK310" s="547"/>
      <c r="AL310" s="183"/>
    </row>
    <row r="311" spans="2:38" x14ac:dyDescent="0.25">
      <c r="B311" s="12" t="s">
        <v>37</v>
      </c>
      <c r="C311" s="13" t="s">
        <v>38</v>
      </c>
      <c r="D311" s="3" t="s">
        <v>10</v>
      </c>
      <c r="E311" s="49">
        <f>'Kalkulace a Porovnání'!E311</f>
        <v>0</v>
      </c>
      <c r="F311" s="49">
        <f>'Kalkulace a Porovnání'!F311</f>
        <v>0</v>
      </c>
      <c r="G311" s="49">
        <f>'Kalkulace a Porovnání'!G311</f>
        <v>0</v>
      </c>
      <c r="H311" s="32">
        <f>'Kalkulace a Porovnání'!H311</f>
        <v>0.15</v>
      </c>
      <c r="K311" s="12" t="s">
        <v>37</v>
      </c>
      <c r="L311" s="13" t="s">
        <v>38</v>
      </c>
      <c r="M311" s="3" t="s">
        <v>10</v>
      </c>
      <c r="N311" s="49">
        <f>'Kalkulace a Porovnání'!N311</f>
        <v>0</v>
      </c>
      <c r="O311" s="49">
        <f>'Kalkulace a Porovnání'!O311</f>
        <v>0</v>
      </c>
      <c r="P311" s="49">
        <f>'Kalkulace a Porovnání'!P311</f>
        <v>0</v>
      </c>
      <c r="Q311" s="32">
        <f>'Kalkulace a Porovnání'!Q311</f>
        <v>0</v>
      </c>
      <c r="T311" s="12" t="s">
        <v>37</v>
      </c>
      <c r="U311" s="13" t="s">
        <v>38</v>
      </c>
      <c r="V311" s="3" t="s">
        <v>10</v>
      </c>
      <c r="W311" s="49">
        <f>'Kalkulace a Porovnání'!W311</f>
        <v>0</v>
      </c>
      <c r="X311" s="49">
        <f>'Kalkulace a Porovnání'!X311</f>
        <v>0</v>
      </c>
      <c r="Y311" s="49">
        <f>'Kalkulace a Porovnání'!Y311</f>
        <v>0</v>
      </c>
      <c r="Z311" s="49">
        <f>'Kalkulace a Porovnání'!Z311</f>
        <v>0</v>
      </c>
      <c r="AA311" s="49">
        <f>'Kalkulace a Porovnání'!AA311</f>
        <v>0.15</v>
      </c>
      <c r="AB311" s="32">
        <f>'Kalkulace a Porovnání'!AB311</f>
        <v>-0.15</v>
      </c>
      <c r="AC311" s="183"/>
      <c r="AD311" s="547"/>
      <c r="AG311" s="342"/>
      <c r="AH311" s="342"/>
      <c r="AI311" s="342"/>
      <c r="AJ311" s="342"/>
      <c r="AK311" s="547"/>
      <c r="AL311" s="183"/>
    </row>
    <row r="312" spans="2:38" x14ac:dyDescent="0.25">
      <c r="B312" s="12" t="s">
        <v>39</v>
      </c>
      <c r="C312" s="21" t="s">
        <v>40</v>
      </c>
      <c r="D312" s="3" t="s">
        <v>10</v>
      </c>
      <c r="E312" s="49">
        <f>'Kalkulace a Porovnání'!E312</f>
        <v>0</v>
      </c>
      <c r="F312" s="49">
        <f>'Kalkulace a Porovnání'!F312</f>
        <v>0</v>
      </c>
      <c r="G312" s="49">
        <f>'Kalkulace a Porovnání'!G312</f>
        <v>0</v>
      </c>
      <c r="H312" s="32">
        <f>'Kalkulace a Porovnání'!H312</f>
        <v>0</v>
      </c>
      <c r="K312" s="12" t="s">
        <v>39</v>
      </c>
      <c r="L312" s="21" t="s">
        <v>40</v>
      </c>
      <c r="M312" s="3" t="s">
        <v>10</v>
      </c>
      <c r="N312" s="49">
        <f>'Kalkulace a Porovnání'!N312</f>
        <v>0</v>
      </c>
      <c r="O312" s="49">
        <f>'Kalkulace a Porovnání'!O312</f>
        <v>0</v>
      </c>
      <c r="P312" s="49">
        <f>'Kalkulace a Porovnání'!P312</f>
        <v>0</v>
      </c>
      <c r="Q312" s="32">
        <f>'Kalkulace a Porovnání'!Q312</f>
        <v>0</v>
      </c>
      <c r="T312" s="12" t="s">
        <v>39</v>
      </c>
      <c r="U312" s="21" t="s">
        <v>40</v>
      </c>
      <c r="V312" s="3" t="s">
        <v>10</v>
      </c>
      <c r="W312" s="49">
        <f>'Kalkulace a Porovnání'!W312</f>
        <v>0</v>
      </c>
      <c r="X312" s="49">
        <f>'Kalkulace a Porovnání'!X312</f>
        <v>0</v>
      </c>
      <c r="Y312" s="49">
        <f>'Kalkulace a Porovnání'!Y312</f>
        <v>0</v>
      </c>
      <c r="Z312" s="49">
        <f>'Kalkulace a Porovnání'!Z312</f>
        <v>0</v>
      </c>
      <c r="AA312" s="49">
        <f>'Kalkulace a Porovnání'!AA312</f>
        <v>0</v>
      </c>
      <c r="AB312" s="32">
        <f>'Kalkulace a Porovnání'!AB312</f>
        <v>0</v>
      </c>
      <c r="AC312" s="183"/>
      <c r="AD312" s="547"/>
      <c r="AG312" s="342"/>
      <c r="AH312" s="342"/>
      <c r="AI312" s="342"/>
      <c r="AJ312" s="342"/>
      <c r="AK312" s="547"/>
      <c r="AL312" s="183"/>
    </row>
    <row r="313" spans="2:38" x14ac:dyDescent="0.25">
      <c r="B313" s="9" t="s">
        <v>41</v>
      </c>
      <c r="C313" s="10" t="s">
        <v>42</v>
      </c>
      <c r="D313" s="11" t="s">
        <v>10</v>
      </c>
      <c r="E313" s="46">
        <f>'Kalkulace a Porovnání'!E313</f>
        <v>0</v>
      </c>
      <c r="F313" s="46">
        <f>'Kalkulace a Porovnání'!F313</f>
        <v>0</v>
      </c>
      <c r="G313" s="46">
        <f>'Kalkulace a Porovnání'!G313</f>
        <v>0</v>
      </c>
      <c r="H313" s="98">
        <f>'Kalkulace a Porovnání'!H313</f>
        <v>0</v>
      </c>
      <c r="K313" s="9" t="s">
        <v>41</v>
      </c>
      <c r="L313" s="10" t="s">
        <v>42</v>
      </c>
      <c r="M313" s="11" t="s">
        <v>10</v>
      </c>
      <c r="N313" s="46">
        <f>'Kalkulace a Porovnání'!N313</f>
        <v>0</v>
      </c>
      <c r="O313" s="46">
        <f>'Kalkulace a Porovnání'!O313</f>
        <v>0</v>
      </c>
      <c r="P313" s="46">
        <f>'Kalkulace a Porovnání'!P313</f>
        <v>0</v>
      </c>
      <c r="Q313" s="98">
        <f>'Kalkulace a Porovnání'!Q313</f>
        <v>0</v>
      </c>
      <c r="T313" s="9" t="s">
        <v>41</v>
      </c>
      <c r="U313" s="10" t="s">
        <v>42</v>
      </c>
      <c r="V313" s="11" t="s">
        <v>10</v>
      </c>
      <c r="W313" s="46">
        <f>'Kalkulace a Porovnání'!W313</f>
        <v>0</v>
      </c>
      <c r="X313" s="46">
        <f>'Kalkulace a Porovnání'!X313</f>
        <v>0</v>
      </c>
      <c r="Y313" s="46">
        <f>'Kalkulace a Porovnání'!Y313</f>
        <v>0</v>
      </c>
      <c r="Z313" s="46">
        <f>'Kalkulace a Porovnání'!Z313</f>
        <v>0</v>
      </c>
      <c r="AA313" s="46">
        <f>'Kalkulace a Porovnání'!AA313</f>
        <v>0</v>
      </c>
      <c r="AB313" s="98">
        <f>'Kalkulace a Porovnání'!AB313</f>
        <v>0</v>
      </c>
      <c r="AC313" s="183"/>
      <c r="AD313" s="547"/>
      <c r="AG313" s="548"/>
      <c r="AH313" s="548"/>
      <c r="AI313" s="342"/>
      <c r="AJ313" s="342"/>
      <c r="AK313" s="547"/>
      <c r="AL313" s="183"/>
    </row>
    <row r="314" spans="2:38" x14ac:dyDescent="0.25">
      <c r="B314" s="12" t="s">
        <v>43</v>
      </c>
      <c r="C314" s="13" t="s">
        <v>44</v>
      </c>
      <c r="D314" s="3" t="s">
        <v>10</v>
      </c>
      <c r="E314" s="49">
        <f>'Kalkulace a Porovnání'!E314</f>
        <v>0</v>
      </c>
      <c r="F314" s="49">
        <f>'Kalkulace a Porovnání'!F314</f>
        <v>0</v>
      </c>
      <c r="G314" s="49">
        <f>'Kalkulace a Porovnání'!G314</f>
        <v>0</v>
      </c>
      <c r="H314" s="32">
        <f>'Kalkulace a Porovnání'!H314</f>
        <v>0</v>
      </c>
      <c r="K314" s="12" t="s">
        <v>43</v>
      </c>
      <c r="L314" s="13" t="s">
        <v>44</v>
      </c>
      <c r="M314" s="3" t="s">
        <v>10</v>
      </c>
      <c r="N314" s="49">
        <f>'Kalkulace a Porovnání'!N314</f>
        <v>0</v>
      </c>
      <c r="O314" s="49">
        <f>'Kalkulace a Porovnání'!O314</f>
        <v>0</v>
      </c>
      <c r="P314" s="49">
        <f>'Kalkulace a Porovnání'!P314</f>
        <v>0</v>
      </c>
      <c r="Q314" s="32">
        <f>'Kalkulace a Porovnání'!Q314</f>
        <v>0</v>
      </c>
      <c r="T314" s="12" t="s">
        <v>43</v>
      </c>
      <c r="U314" s="13" t="s">
        <v>44</v>
      </c>
      <c r="V314" s="3" t="s">
        <v>10</v>
      </c>
      <c r="W314" s="49">
        <f>'Kalkulace a Porovnání'!W314</f>
        <v>0</v>
      </c>
      <c r="X314" s="49">
        <f>'Kalkulace a Porovnání'!X314</f>
        <v>0</v>
      </c>
      <c r="Y314" s="49">
        <f>'Kalkulace a Porovnání'!Y314</f>
        <v>0</v>
      </c>
      <c r="Z314" s="49">
        <f>'Kalkulace a Porovnání'!Z314</f>
        <v>0</v>
      </c>
      <c r="AA314" s="49">
        <f>'Kalkulace a Porovnání'!AA314</f>
        <v>0</v>
      </c>
      <c r="AB314" s="32">
        <f>'Kalkulace a Porovnání'!AB314</f>
        <v>0</v>
      </c>
      <c r="AC314" s="183"/>
      <c r="AD314" s="547"/>
      <c r="AG314" s="972"/>
      <c r="AH314" s="972"/>
      <c r="AI314" s="342"/>
      <c r="AJ314" s="342"/>
      <c r="AK314" s="547"/>
      <c r="AL314" s="183"/>
    </row>
    <row r="315" spans="2:38" x14ac:dyDescent="0.25">
      <c r="B315" s="12" t="s">
        <v>45</v>
      </c>
      <c r="C315" s="12" t="s">
        <v>46</v>
      </c>
      <c r="D315" s="3" t="s">
        <v>10</v>
      </c>
      <c r="E315" s="49">
        <f>'Kalkulace a Porovnání'!E315</f>
        <v>0</v>
      </c>
      <c r="F315" s="49">
        <f>'Kalkulace a Porovnání'!F315</f>
        <v>0</v>
      </c>
      <c r="G315" s="49">
        <f>'Kalkulace a Porovnání'!G315</f>
        <v>0</v>
      </c>
      <c r="H315" s="32">
        <f>'Kalkulace a Porovnání'!H315</f>
        <v>0</v>
      </c>
      <c r="K315" s="12" t="s">
        <v>45</v>
      </c>
      <c r="L315" s="12" t="s">
        <v>46</v>
      </c>
      <c r="M315" s="3" t="s">
        <v>10</v>
      </c>
      <c r="N315" s="49">
        <f>'Kalkulace a Porovnání'!N315</f>
        <v>0</v>
      </c>
      <c r="O315" s="49">
        <f>'Kalkulace a Porovnání'!O315</f>
        <v>0</v>
      </c>
      <c r="P315" s="49">
        <f>'Kalkulace a Porovnání'!P315</f>
        <v>0</v>
      </c>
      <c r="Q315" s="32">
        <f>'Kalkulace a Porovnání'!Q315</f>
        <v>0</v>
      </c>
      <c r="T315" s="12" t="s">
        <v>45</v>
      </c>
      <c r="U315" s="12" t="s">
        <v>46</v>
      </c>
      <c r="V315" s="3" t="s">
        <v>10</v>
      </c>
      <c r="W315" s="49">
        <f>'Kalkulace a Porovnání'!W315</f>
        <v>0</v>
      </c>
      <c r="X315" s="49">
        <f>'Kalkulace a Porovnání'!X315</f>
        <v>0</v>
      </c>
      <c r="Y315" s="49">
        <f>'Kalkulace a Porovnání'!Y315</f>
        <v>0</v>
      </c>
      <c r="Z315" s="49">
        <f>'Kalkulace a Porovnání'!Z315</f>
        <v>0</v>
      </c>
      <c r="AA315" s="49">
        <f>'Kalkulace a Porovnání'!AA315</f>
        <v>0</v>
      </c>
      <c r="AB315" s="32">
        <f>'Kalkulace a Porovnání'!AB315</f>
        <v>0</v>
      </c>
      <c r="AC315" s="183"/>
      <c r="AD315" s="547"/>
      <c r="AG315" s="972"/>
      <c r="AH315" s="972"/>
      <c r="AI315" s="342"/>
      <c r="AJ315" s="342"/>
      <c r="AK315" s="547"/>
      <c r="AL315" s="183"/>
    </row>
    <row r="316" spans="2:38" x14ac:dyDescent="0.25">
      <c r="B316" s="12" t="s">
        <v>47</v>
      </c>
      <c r="C316" s="13" t="s">
        <v>48</v>
      </c>
      <c r="D316" s="3" t="s">
        <v>10</v>
      </c>
      <c r="E316" s="49">
        <f>'Kalkulace a Porovnání'!E316</f>
        <v>0</v>
      </c>
      <c r="F316" s="49">
        <f>'Kalkulace a Porovnání'!F316</f>
        <v>0</v>
      </c>
      <c r="G316" s="49">
        <f>'Kalkulace a Porovnání'!G316</f>
        <v>0</v>
      </c>
      <c r="H316" s="32">
        <f>'Kalkulace a Porovnání'!H316</f>
        <v>0</v>
      </c>
      <c r="K316" s="12" t="s">
        <v>47</v>
      </c>
      <c r="L316" s="13" t="s">
        <v>48</v>
      </c>
      <c r="M316" s="3" t="s">
        <v>10</v>
      </c>
      <c r="N316" s="49">
        <f>'Kalkulace a Porovnání'!N316</f>
        <v>0</v>
      </c>
      <c r="O316" s="49">
        <f>'Kalkulace a Porovnání'!O316</f>
        <v>0</v>
      </c>
      <c r="P316" s="49">
        <f>'Kalkulace a Porovnání'!P316</f>
        <v>0</v>
      </c>
      <c r="Q316" s="32">
        <f>'Kalkulace a Porovnání'!Q316</f>
        <v>0</v>
      </c>
      <c r="T316" s="12" t="s">
        <v>47</v>
      </c>
      <c r="U316" s="13" t="s">
        <v>48</v>
      </c>
      <c r="V316" s="3" t="s">
        <v>10</v>
      </c>
      <c r="W316" s="49">
        <f>'Kalkulace a Porovnání'!W316</f>
        <v>0</v>
      </c>
      <c r="X316" s="49">
        <f>'Kalkulace a Porovnání'!X316</f>
        <v>0</v>
      </c>
      <c r="Y316" s="49">
        <f>'Kalkulace a Porovnání'!Y316</f>
        <v>0</v>
      </c>
      <c r="Z316" s="49">
        <f>'Kalkulace a Porovnání'!Z316</f>
        <v>0</v>
      </c>
      <c r="AA316" s="49">
        <f>'Kalkulace a Porovnání'!AA316</f>
        <v>0</v>
      </c>
      <c r="AB316" s="32">
        <f>'Kalkulace a Porovnání'!AB316</f>
        <v>0</v>
      </c>
      <c r="AC316" s="183"/>
      <c r="AD316" s="547"/>
      <c r="AG316" s="545"/>
      <c r="AH316" s="545"/>
      <c r="AI316" s="342"/>
      <c r="AJ316" s="342"/>
      <c r="AK316" s="547"/>
      <c r="AL316" s="183"/>
    </row>
    <row r="317" spans="2:38" x14ac:dyDescent="0.25">
      <c r="B317" s="9" t="s">
        <v>49</v>
      </c>
      <c r="C317" s="10" t="s">
        <v>50</v>
      </c>
      <c r="D317" s="11" t="s">
        <v>10</v>
      </c>
      <c r="E317" s="49">
        <f>'Kalkulace a Porovnání'!E317</f>
        <v>0</v>
      </c>
      <c r="F317" s="49">
        <f>'Kalkulace a Porovnání'!F317</f>
        <v>0</v>
      </c>
      <c r="G317" s="49">
        <f>'Kalkulace a Porovnání'!G317</f>
        <v>0</v>
      </c>
      <c r="H317" s="32">
        <f>'Kalkulace a Porovnání'!H317</f>
        <v>0</v>
      </c>
      <c r="K317" s="9" t="s">
        <v>49</v>
      </c>
      <c r="L317" s="10" t="s">
        <v>50</v>
      </c>
      <c r="M317" s="11" t="s">
        <v>10</v>
      </c>
      <c r="N317" s="49">
        <f>'Kalkulace a Porovnání'!N317</f>
        <v>0</v>
      </c>
      <c r="O317" s="49">
        <f>'Kalkulace a Porovnání'!O317</f>
        <v>0</v>
      </c>
      <c r="P317" s="49">
        <f>'Kalkulace a Porovnání'!P317</f>
        <v>0</v>
      </c>
      <c r="Q317" s="32">
        <f>'Kalkulace a Porovnání'!Q317</f>
        <v>0</v>
      </c>
      <c r="T317" s="9" t="s">
        <v>49</v>
      </c>
      <c r="U317" s="10" t="s">
        <v>50</v>
      </c>
      <c r="V317" s="11" t="s">
        <v>10</v>
      </c>
      <c r="W317" s="49">
        <f>'Kalkulace a Porovnání'!W317</f>
        <v>0</v>
      </c>
      <c r="X317" s="49">
        <f>'Kalkulace a Porovnání'!X317</f>
        <v>0</v>
      </c>
      <c r="Y317" s="49">
        <f>'Kalkulace a Porovnání'!Y317</f>
        <v>0</v>
      </c>
      <c r="Z317" s="49">
        <f>'Kalkulace a Porovnání'!Z317</f>
        <v>0</v>
      </c>
      <c r="AA317" s="49">
        <f>'Kalkulace a Porovnání'!AA317</f>
        <v>0</v>
      </c>
      <c r="AB317" s="32">
        <f>'Kalkulace a Porovnání'!AB317</f>
        <v>0</v>
      </c>
      <c r="AC317" s="183"/>
      <c r="AD317" s="547"/>
      <c r="AG317" s="184"/>
      <c r="AH317" s="184"/>
      <c r="AI317" s="342"/>
      <c r="AJ317" s="342"/>
      <c r="AK317" s="547"/>
      <c r="AL317" s="183"/>
    </row>
    <row r="318" spans="2:38" x14ac:dyDescent="0.25">
      <c r="B318" s="9" t="s">
        <v>51</v>
      </c>
      <c r="C318" s="10" t="s">
        <v>52</v>
      </c>
      <c r="D318" s="11" t="s">
        <v>10</v>
      </c>
      <c r="E318" s="49">
        <f>'Kalkulace a Porovnání'!E318</f>
        <v>0</v>
      </c>
      <c r="F318" s="49">
        <f>'Kalkulace a Porovnání'!F318</f>
        <v>0</v>
      </c>
      <c r="G318" s="49">
        <f>'Kalkulace a Porovnání'!G318</f>
        <v>0</v>
      </c>
      <c r="H318" s="32">
        <f ca="1">'Kalkulace a Porovnání'!H318</f>
        <v>0</v>
      </c>
      <c r="K318" s="9" t="s">
        <v>51</v>
      </c>
      <c r="L318" s="10" t="s">
        <v>52</v>
      </c>
      <c r="M318" s="11" t="s">
        <v>10</v>
      </c>
      <c r="N318" s="49">
        <f>'Kalkulace a Porovnání'!N318</f>
        <v>0</v>
      </c>
      <c r="O318" s="49">
        <f>'Kalkulace a Porovnání'!O318</f>
        <v>0</v>
      </c>
      <c r="P318" s="49">
        <f>'Kalkulace a Porovnání'!P318</f>
        <v>0</v>
      </c>
      <c r="Q318" s="32">
        <f>'Kalkulace a Porovnání'!Q318</f>
        <v>0</v>
      </c>
      <c r="T318" s="9" t="s">
        <v>51</v>
      </c>
      <c r="U318" s="10" t="s">
        <v>52</v>
      </c>
      <c r="V318" s="11" t="s">
        <v>10</v>
      </c>
      <c r="W318" s="49">
        <f>'Kalkulace a Porovnání'!W318</f>
        <v>0</v>
      </c>
      <c r="X318" s="49">
        <f>'Kalkulace a Porovnání'!X318</f>
        <v>0</v>
      </c>
      <c r="Y318" s="49">
        <f>'Kalkulace a Porovnání'!Y318</f>
        <v>0</v>
      </c>
      <c r="Z318" s="49">
        <f>'Kalkulace a Porovnání'!Z318</f>
        <v>0</v>
      </c>
      <c r="AA318" s="49">
        <f ca="1">'Kalkulace a Porovnání'!AA318</f>
        <v>0</v>
      </c>
      <c r="AB318" s="32">
        <f ca="1">'Kalkulace a Porovnání'!AB318</f>
        <v>0</v>
      </c>
      <c r="AC318" s="183"/>
      <c r="AD318" s="547"/>
      <c r="AG318" s="184"/>
      <c r="AH318" s="184"/>
      <c r="AI318" s="342"/>
      <c r="AJ318" s="342"/>
      <c r="AK318" s="547"/>
      <c r="AL318" s="183"/>
    </row>
    <row r="319" spans="2:38" x14ac:dyDescent="0.25">
      <c r="B319" s="9" t="s">
        <v>53</v>
      </c>
      <c r="C319" s="10" t="s">
        <v>54</v>
      </c>
      <c r="D319" s="11" t="s">
        <v>10</v>
      </c>
      <c r="E319" s="49">
        <f>'Kalkulace a Porovnání'!E319</f>
        <v>0</v>
      </c>
      <c r="F319" s="49">
        <f>'Kalkulace a Porovnání'!F319</f>
        <v>0</v>
      </c>
      <c r="G319" s="49">
        <f>'Kalkulace a Porovnání'!G319</f>
        <v>0</v>
      </c>
      <c r="H319" s="32">
        <f>'Kalkulace a Porovnání'!H319</f>
        <v>0</v>
      </c>
      <c r="K319" s="9" t="s">
        <v>53</v>
      </c>
      <c r="L319" s="10" t="s">
        <v>54</v>
      </c>
      <c r="M319" s="11" t="s">
        <v>10</v>
      </c>
      <c r="N319" s="49">
        <f>'Kalkulace a Porovnání'!N319</f>
        <v>0</v>
      </c>
      <c r="O319" s="49">
        <f>'Kalkulace a Porovnání'!O319</f>
        <v>0</v>
      </c>
      <c r="P319" s="49">
        <f>'Kalkulace a Porovnání'!P319</f>
        <v>0</v>
      </c>
      <c r="Q319" s="32">
        <f>'Kalkulace a Porovnání'!Q319</f>
        <v>0</v>
      </c>
      <c r="T319" s="9" t="s">
        <v>53</v>
      </c>
      <c r="U319" s="10" t="s">
        <v>54</v>
      </c>
      <c r="V319" s="11" t="s">
        <v>10</v>
      </c>
      <c r="W319" s="49">
        <f>'Kalkulace a Porovnání'!W319</f>
        <v>0</v>
      </c>
      <c r="X319" s="49">
        <f>'Kalkulace a Porovnání'!X319</f>
        <v>0</v>
      </c>
      <c r="Y319" s="49">
        <f>'Kalkulace a Porovnání'!Y319</f>
        <v>0</v>
      </c>
      <c r="Z319" s="49">
        <f>'Kalkulace a Porovnání'!Z319</f>
        <v>0</v>
      </c>
      <c r="AA319" s="49">
        <f>'Kalkulace a Porovnání'!AA319</f>
        <v>0</v>
      </c>
      <c r="AB319" s="32">
        <f>'Kalkulace a Porovnání'!AB319</f>
        <v>0</v>
      </c>
      <c r="AC319" s="183"/>
      <c r="AD319" s="547"/>
      <c r="AG319" s="184"/>
      <c r="AH319" s="184"/>
      <c r="AI319" s="342"/>
      <c r="AJ319" s="342"/>
      <c r="AK319" s="547"/>
      <c r="AL319" s="183"/>
    </row>
    <row r="320" spans="2:38" x14ac:dyDescent="0.25">
      <c r="B320" s="9" t="s">
        <v>55</v>
      </c>
      <c r="C320" s="10" t="s">
        <v>56</v>
      </c>
      <c r="D320" s="11" t="s">
        <v>10</v>
      </c>
      <c r="E320" s="49">
        <f>'Kalkulace a Porovnání'!E320</f>
        <v>0</v>
      </c>
      <c r="F320" s="49">
        <f>'Kalkulace a Porovnání'!F320</f>
        <v>0</v>
      </c>
      <c r="G320" s="49">
        <f>'Kalkulace a Porovnání'!G320</f>
        <v>0</v>
      </c>
      <c r="H320" s="32">
        <f>'Kalkulace a Porovnání'!H320</f>
        <v>0</v>
      </c>
      <c r="K320" s="9" t="s">
        <v>55</v>
      </c>
      <c r="L320" s="10" t="s">
        <v>56</v>
      </c>
      <c r="M320" s="11" t="s">
        <v>10</v>
      </c>
      <c r="N320" s="49">
        <f>'Kalkulace a Porovnání'!N320</f>
        <v>0</v>
      </c>
      <c r="O320" s="49">
        <f>'Kalkulace a Porovnání'!O320</f>
        <v>0</v>
      </c>
      <c r="P320" s="49">
        <f>'Kalkulace a Porovnání'!P320</f>
        <v>0</v>
      </c>
      <c r="Q320" s="32">
        <f>'Kalkulace a Porovnání'!Q320</f>
        <v>0</v>
      </c>
      <c r="T320" s="9" t="s">
        <v>55</v>
      </c>
      <c r="U320" s="10" t="s">
        <v>56</v>
      </c>
      <c r="V320" s="11" t="s">
        <v>10</v>
      </c>
      <c r="W320" s="49">
        <f>'Kalkulace a Porovnání'!W320</f>
        <v>0</v>
      </c>
      <c r="X320" s="49">
        <f>'Kalkulace a Porovnání'!X320</f>
        <v>0</v>
      </c>
      <c r="Y320" s="49">
        <f>'Kalkulace a Porovnání'!Y320</f>
        <v>0</v>
      </c>
      <c r="Z320" s="49">
        <f>'Kalkulace a Porovnání'!Z320</f>
        <v>0</v>
      </c>
      <c r="AA320" s="49">
        <f>'Kalkulace a Porovnání'!AA320</f>
        <v>0</v>
      </c>
      <c r="AB320" s="32">
        <f>'Kalkulace a Porovnání'!AB320</f>
        <v>0</v>
      </c>
      <c r="AC320" s="183"/>
      <c r="AD320" s="547"/>
      <c r="AG320" s="184"/>
      <c r="AH320" s="184"/>
      <c r="AI320" s="342"/>
      <c r="AJ320" s="342"/>
      <c r="AK320" s="547"/>
      <c r="AL320" s="183"/>
    </row>
    <row r="321" spans="2:38" x14ac:dyDescent="0.25">
      <c r="B321" s="9" t="s">
        <v>57</v>
      </c>
      <c r="C321" s="10" t="s">
        <v>58</v>
      </c>
      <c r="D321" s="11" t="s">
        <v>10</v>
      </c>
      <c r="E321" s="46">
        <f>'Kalkulace a Porovnání'!E321</f>
        <v>0</v>
      </c>
      <c r="F321" s="46">
        <f>'Kalkulace a Porovnání'!F321</f>
        <v>0</v>
      </c>
      <c r="G321" s="46">
        <f>'Kalkulace a Porovnání'!G321</f>
        <v>0</v>
      </c>
      <c r="H321" s="98">
        <f ca="1">'Kalkulace a Porovnání'!H321</f>
        <v>0.43999999999999995</v>
      </c>
      <c r="K321" s="9" t="s">
        <v>57</v>
      </c>
      <c r="L321" s="10" t="s">
        <v>58</v>
      </c>
      <c r="M321" s="11" t="s">
        <v>10</v>
      </c>
      <c r="N321" s="46">
        <f>'Kalkulace a Porovnání'!N321</f>
        <v>0</v>
      </c>
      <c r="O321" s="46">
        <f>'Kalkulace a Porovnání'!O321</f>
        <v>0</v>
      </c>
      <c r="P321" s="46">
        <f>'Kalkulace a Porovnání'!P321</f>
        <v>0</v>
      </c>
      <c r="Q321" s="98">
        <f>'Kalkulace a Porovnání'!Q321</f>
        <v>0</v>
      </c>
      <c r="T321" s="9" t="s">
        <v>57</v>
      </c>
      <c r="U321" s="10" t="s">
        <v>58</v>
      </c>
      <c r="V321" s="11" t="s">
        <v>10</v>
      </c>
      <c r="W321" s="46">
        <f>'Kalkulace a Porovnání'!W321</f>
        <v>0</v>
      </c>
      <c r="X321" s="46">
        <f>'Kalkulace a Porovnání'!X321</f>
        <v>0</v>
      </c>
      <c r="Y321" s="46">
        <f>'Kalkulace a Porovnání'!Y321</f>
        <v>0</v>
      </c>
      <c r="Z321" s="46">
        <f>'Kalkulace a Porovnání'!Z321</f>
        <v>0</v>
      </c>
      <c r="AA321" s="46">
        <f ca="1">'Kalkulace a Porovnání'!AA321</f>
        <v>0.43999999999999995</v>
      </c>
      <c r="AB321" s="98">
        <f ca="1">'Kalkulace a Porovnání'!AB321</f>
        <v>-0.43999999999999995</v>
      </c>
      <c r="AC321" s="183"/>
      <c r="AD321" s="547"/>
      <c r="AG321" s="184"/>
      <c r="AH321" s="184"/>
      <c r="AI321" s="342"/>
      <c r="AJ321" s="342"/>
      <c r="AK321" s="547"/>
      <c r="AL321" s="183"/>
    </row>
    <row r="322" spans="2:38" x14ac:dyDescent="0.25">
      <c r="B322" s="12" t="s">
        <v>59</v>
      </c>
      <c r="C322" s="13" t="s">
        <v>112</v>
      </c>
      <c r="D322" s="3" t="s">
        <v>10</v>
      </c>
      <c r="E322" s="437">
        <f>'Kalkulace a Porovnání'!E322</f>
        <v>0</v>
      </c>
      <c r="F322" s="437">
        <f>'Kalkulace a Porovnání'!F322</f>
        <v>0</v>
      </c>
      <c r="G322" s="437">
        <f>'Kalkulace a Porovnání'!G322</f>
        <v>0</v>
      </c>
      <c r="H322" s="438">
        <f>'Kalkulace a Porovnání'!H322</f>
        <v>0</v>
      </c>
      <c r="K322" s="12" t="s">
        <v>59</v>
      </c>
      <c r="L322" s="13" t="s">
        <v>112</v>
      </c>
      <c r="M322" s="3" t="s">
        <v>10</v>
      </c>
      <c r="N322" s="437">
        <f>'Kalkulace a Porovnání'!N322</f>
        <v>0</v>
      </c>
      <c r="O322" s="437">
        <f>'Kalkulace a Porovnání'!O322</f>
        <v>0</v>
      </c>
      <c r="P322" s="437">
        <f>'Kalkulace a Porovnání'!P322</f>
        <v>0</v>
      </c>
      <c r="Q322" s="438">
        <f>'Kalkulace a Porovnání'!Q322</f>
        <v>0</v>
      </c>
      <c r="T322" s="12" t="s">
        <v>59</v>
      </c>
      <c r="U322" s="13" t="s">
        <v>112</v>
      </c>
      <c r="V322" s="3" t="s">
        <v>10</v>
      </c>
      <c r="W322" s="437">
        <f>'Kalkulace a Porovnání'!W322</f>
        <v>0</v>
      </c>
      <c r="X322" s="437">
        <f>'Kalkulace a Porovnání'!X322</f>
        <v>0</v>
      </c>
      <c r="Y322" s="437">
        <f>'Kalkulace a Porovnání'!Y322</f>
        <v>0</v>
      </c>
      <c r="Z322" s="437">
        <f>'Kalkulace a Porovnání'!Z322</f>
        <v>0</v>
      </c>
      <c r="AA322" s="437">
        <f>'Kalkulace a Porovnání'!AA322</f>
        <v>0</v>
      </c>
      <c r="AB322" s="438">
        <f>'Kalkulace a Porovnání'!AB322</f>
        <v>0</v>
      </c>
      <c r="AC322" s="183"/>
      <c r="AD322" s="547"/>
      <c r="AG322" s="973"/>
      <c r="AH322" s="973"/>
      <c r="AI322" s="342"/>
      <c r="AJ322" s="342"/>
      <c r="AK322" s="547"/>
      <c r="AL322" s="183"/>
    </row>
    <row r="323" spans="2:38" x14ac:dyDescent="0.25">
      <c r="B323" s="12" t="s">
        <v>60</v>
      </c>
      <c r="C323" s="13" t="s">
        <v>113</v>
      </c>
      <c r="D323" s="3" t="s">
        <v>10</v>
      </c>
      <c r="E323" s="437">
        <f>'Kalkulace a Porovnání'!E323</f>
        <v>0</v>
      </c>
      <c r="F323" s="437">
        <f>'Kalkulace a Porovnání'!F323</f>
        <v>0</v>
      </c>
      <c r="G323" s="437">
        <f>'Kalkulace a Porovnání'!G323</f>
        <v>0</v>
      </c>
      <c r="H323" s="438">
        <f>'Kalkulace a Porovnání'!H323</f>
        <v>0</v>
      </c>
      <c r="K323" s="12" t="s">
        <v>60</v>
      </c>
      <c r="L323" s="13" t="s">
        <v>113</v>
      </c>
      <c r="M323" s="3" t="s">
        <v>10</v>
      </c>
      <c r="N323" s="437">
        <f>'Kalkulace a Porovnání'!N323</f>
        <v>0</v>
      </c>
      <c r="O323" s="437">
        <f>'Kalkulace a Porovnání'!O323</f>
        <v>0</v>
      </c>
      <c r="P323" s="437">
        <f>'Kalkulace a Porovnání'!P323</f>
        <v>0</v>
      </c>
      <c r="Q323" s="438">
        <f>'Kalkulace a Porovnání'!Q323</f>
        <v>0</v>
      </c>
      <c r="T323" s="12" t="s">
        <v>60</v>
      </c>
      <c r="U323" s="13" t="s">
        <v>113</v>
      </c>
      <c r="V323" s="3" t="s">
        <v>10</v>
      </c>
      <c r="W323" s="437">
        <f>'Kalkulace a Porovnání'!W323</f>
        <v>0</v>
      </c>
      <c r="X323" s="437">
        <f>'Kalkulace a Porovnání'!X323</f>
        <v>0</v>
      </c>
      <c r="Y323" s="437">
        <f>'Kalkulace a Porovnání'!Y323</f>
        <v>0</v>
      </c>
      <c r="Z323" s="437">
        <f>'Kalkulace a Porovnání'!Z323</f>
        <v>0</v>
      </c>
      <c r="AA323" s="437">
        <f>'Kalkulace a Porovnání'!AA323</f>
        <v>0</v>
      </c>
      <c r="AB323" s="438">
        <f>'Kalkulace a Porovnání'!AB323</f>
        <v>0</v>
      </c>
      <c r="AC323" s="183"/>
      <c r="AD323" s="547"/>
      <c r="AG323" s="973"/>
      <c r="AH323" s="973"/>
      <c r="AI323" s="342"/>
      <c r="AJ323" s="342"/>
      <c r="AK323" s="547"/>
      <c r="AL323" s="183"/>
    </row>
    <row r="324" spans="2:38" x14ac:dyDescent="0.25">
      <c r="B324" s="12" t="s">
        <v>61</v>
      </c>
      <c r="C324" s="13" t="s">
        <v>62</v>
      </c>
      <c r="D324" s="3" t="s">
        <v>63</v>
      </c>
      <c r="E324" s="439">
        <f>'Kalkulace a Porovnání'!E324</f>
        <v>0</v>
      </c>
      <c r="F324" s="439">
        <f>'Kalkulace a Porovnání'!F324</f>
        <v>0</v>
      </c>
      <c r="G324" s="439">
        <f>'Kalkulace a Porovnání'!G324</f>
        <v>0</v>
      </c>
      <c r="H324" s="440">
        <f>'Kalkulace a Porovnání'!H324</f>
        <v>0</v>
      </c>
      <c r="K324" s="12" t="s">
        <v>61</v>
      </c>
      <c r="L324" s="13" t="s">
        <v>62</v>
      </c>
      <c r="M324" s="3" t="s">
        <v>63</v>
      </c>
      <c r="N324" s="439">
        <f>'Kalkulace a Porovnání'!N324</f>
        <v>0</v>
      </c>
      <c r="O324" s="439">
        <f>'Kalkulace a Porovnání'!O324</f>
        <v>0</v>
      </c>
      <c r="P324" s="439">
        <f>'Kalkulace a Porovnání'!P324</f>
        <v>0</v>
      </c>
      <c r="Q324" s="440">
        <f>'Kalkulace a Porovnání'!Q324</f>
        <v>0</v>
      </c>
      <c r="T324" s="12" t="s">
        <v>61</v>
      </c>
      <c r="U324" s="13" t="s">
        <v>62</v>
      </c>
      <c r="V324" s="3" t="s">
        <v>63</v>
      </c>
      <c r="W324" s="439">
        <f>'Kalkulace a Porovnání'!W324</f>
        <v>0</v>
      </c>
      <c r="X324" s="439">
        <f>'Kalkulace a Porovnání'!X324</f>
        <v>0</v>
      </c>
      <c r="Y324" s="439">
        <f>'Kalkulace a Porovnání'!Y324</f>
        <v>0</v>
      </c>
      <c r="Z324" s="439">
        <f>'Kalkulace a Porovnání'!Z324</f>
        <v>0</v>
      </c>
      <c r="AA324" s="439">
        <f>'Kalkulace a Porovnání'!AA324</f>
        <v>0</v>
      </c>
      <c r="AB324" s="440">
        <f>'Kalkulace a Porovnání'!AB324</f>
        <v>0</v>
      </c>
      <c r="AC324" s="183"/>
      <c r="AD324" s="547"/>
      <c r="AG324" s="972"/>
      <c r="AH324" s="972"/>
      <c r="AI324" s="342"/>
      <c r="AJ324" s="342"/>
      <c r="AK324" s="547"/>
      <c r="AL324" s="183"/>
    </row>
    <row r="325" spans="2:38" x14ac:dyDescent="0.25">
      <c r="B325" s="12" t="s">
        <v>64</v>
      </c>
      <c r="C325" s="13" t="s">
        <v>65</v>
      </c>
      <c r="D325" s="3" t="s">
        <v>66</v>
      </c>
      <c r="E325" s="49">
        <f>'Kalkulace a Porovnání'!E325</f>
        <v>0</v>
      </c>
      <c r="F325" s="49">
        <f>'Kalkulace a Porovnání'!F325</f>
        <v>0</v>
      </c>
      <c r="G325" s="49">
        <f>'Kalkulace a Porovnání'!G325</f>
        <v>0</v>
      </c>
      <c r="H325" s="32">
        <f>'Kalkulace a Porovnání'!H325</f>
        <v>0</v>
      </c>
      <c r="K325" s="12" t="s">
        <v>64</v>
      </c>
      <c r="L325" s="13" t="s">
        <v>65</v>
      </c>
      <c r="M325" s="3" t="s">
        <v>66</v>
      </c>
      <c r="N325" s="49">
        <f>'Kalkulace a Porovnání'!N325</f>
        <v>0</v>
      </c>
      <c r="O325" s="49">
        <f>'Kalkulace a Porovnání'!O325</f>
        <v>0</v>
      </c>
      <c r="P325" s="49">
        <f>'Kalkulace a Porovnání'!P325</f>
        <v>0</v>
      </c>
      <c r="Q325" s="32">
        <f>'Kalkulace a Porovnání'!Q325</f>
        <v>0</v>
      </c>
      <c r="T325" s="12" t="s">
        <v>64</v>
      </c>
      <c r="U325" s="13" t="s">
        <v>65</v>
      </c>
      <c r="V325" s="3" t="s">
        <v>66</v>
      </c>
      <c r="W325" s="49">
        <f>'Kalkulace a Porovnání'!W325</f>
        <v>0</v>
      </c>
      <c r="X325" s="49">
        <f>'Kalkulace a Porovnání'!X325</f>
        <v>0</v>
      </c>
      <c r="Y325" s="49">
        <f>'Kalkulace a Porovnání'!Y325</f>
        <v>0</v>
      </c>
      <c r="Z325" s="49">
        <f>'Kalkulace a Porovnání'!Z325</f>
        <v>0</v>
      </c>
      <c r="AA325" s="49">
        <f>'Kalkulace a Porovnání'!AA325</f>
        <v>0</v>
      </c>
      <c r="AB325" s="32">
        <f>'Kalkulace a Porovnání'!AB325</f>
        <v>0</v>
      </c>
      <c r="AC325" s="183"/>
      <c r="AD325" s="547"/>
      <c r="AG325" s="972"/>
      <c r="AH325" s="972"/>
      <c r="AI325" s="342"/>
      <c r="AJ325" s="342"/>
      <c r="AK325" s="547"/>
      <c r="AL325" s="183"/>
    </row>
    <row r="326" spans="2:38" x14ac:dyDescent="0.25">
      <c r="B326" s="12" t="s">
        <v>67</v>
      </c>
      <c r="C326" s="13" t="s">
        <v>68</v>
      </c>
      <c r="D326" s="3" t="s">
        <v>66</v>
      </c>
      <c r="E326" s="49">
        <f>'Kalkulace a Porovnání'!E326</f>
        <v>0</v>
      </c>
      <c r="F326" s="49">
        <f>'Kalkulace a Porovnání'!F326</f>
        <v>0</v>
      </c>
      <c r="G326" s="49">
        <f>'Kalkulace a Porovnání'!G326</f>
        <v>0</v>
      </c>
      <c r="H326" s="32">
        <f>'Kalkulace a Porovnání'!H326</f>
        <v>0</v>
      </c>
      <c r="K326" s="12" t="s">
        <v>67</v>
      </c>
      <c r="L326" s="13" t="s">
        <v>68</v>
      </c>
      <c r="M326" s="3" t="s">
        <v>66</v>
      </c>
      <c r="N326" s="49">
        <f>'Kalkulace a Porovnání'!N326</f>
        <v>0</v>
      </c>
      <c r="O326" s="49">
        <f>'Kalkulace a Porovnání'!O326</f>
        <v>0</v>
      </c>
      <c r="P326" s="49">
        <f>'Kalkulace a Porovnání'!P326</f>
        <v>0</v>
      </c>
      <c r="Q326" s="32">
        <f>'Kalkulace a Porovnání'!Q326</f>
        <v>0</v>
      </c>
      <c r="T326" s="12" t="s">
        <v>67</v>
      </c>
      <c r="U326" s="13" t="s">
        <v>68</v>
      </c>
      <c r="V326" s="3" t="s">
        <v>66</v>
      </c>
      <c r="W326" s="49">
        <f>'Kalkulace a Porovnání'!W326</f>
        <v>0</v>
      </c>
      <c r="X326" s="49">
        <f>'Kalkulace a Porovnání'!X326</f>
        <v>0</v>
      </c>
      <c r="Y326" s="49">
        <f>'Kalkulace a Porovnání'!Y326</f>
        <v>0</v>
      </c>
      <c r="Z326" s="49">
        <f>'Kalkulace a Porovnání'!Z326</f>
        <v>0</v>
      </c>
      <c r="AA326" s="49">
        <f>'Kalkulace a Porovnání'!AA326</f>
        <v>0</v>
      </c>
      <c r="AB326" s="32">
        <f>'Kalkulace a Porovnání'!AB326</f>
        <v>0</v>
      </c>
      <c r="AC326" s="183"/>
      <c r="AD326" s="547"/>
      <c r="AG326" s="184"/>
      <c r="AH326" s="184"/>
      <c r="AI326" s="342"/>
      <c r="AJ326" s="342"/>
      <c r="AK326" s="547"/>
      <c r="AL326" s="183"/>
    </row>
    <row r="327" spans="2:38" x14ac:dyDescent="0.25">
      <c r="B327" s="12" t="s">
        <v>69</v>
      </c>
      <c r="C327" s="13" t="s">
        <v>70</v>
      </c>
      <c r="D327" s="3" t="s">
        <v>66</v>
      </c>
      <c r="E327" s="49">
        <f>'Kalkulace a Porovnání'!E327</f>
        <v>0</v>
      </c>
      <c r="F327" s="49">
        <f>'Kalkulace a Porovnání'!F327</f>
        <v>0</v>
      </c>
      <c r="G327" s="49">
        <f>'Kalkulace a Porovnání'!G327</f>
        <v>0</v>
      </c>
      <c r="H327" s="32">
        <f>'Kalkulace a Porovnání'!H327</f>
        <v>1.4E-2</v>
      </c>
      <c r="K327" s="12" t="s">
        <v>69</v>
      </c>
      <c r="L327" s="13" t="s">
        <v>70</v>
      </c>
      <c r="M327" s="3" t="s">
        <v>66</v>
      </c>
      <c r="N327" s="49">
        <f>'Kalkulace a Porovnání'!N327</f>
        <v>0</v>
      </c>
      <c r="O327" s="49">
        <f>'Kalkulace a Porovnání'!O327</f>
        <v>0</v>
      </c>
      <c r="P327" s="49">
        <f>'Kalkulace a Porovnání'!P327</f>
        <v>0</v>
      </c>
      <c r="Q327" s="32">
        <f>'Kalkulace a Porovnání'!Q327</f>
        <v>0</v>
      </c>
      <c r="T327" s="12" t="s">
        <v>69</v>
      </c>
      <c r="U327" s="13" t="s">
        <v>70</v>
      </c>
      <c r="V327" s="3" t="s">
        <v>66</v>
      </c>
      <c r="W327" s="49">
        <f>'Kalkulace a Porovnání'!W327</f>
        <v>0</v>
      </c>
      <c r="X327" s="49">
        <f>'Kalkulace a Porovnání'!X327</f>
        <v>0</v>
      </c>
      <c r="Y327" s="49">
        <f>'Kalkulace a Porovnání'!Y327</f>
        <v>0</v>
      </c>
      <c r="Z327" s="49">
        <f>'Kalkulace a Porovnání'!Z327</f>
        <v>0</v>
      </c>
      <c r="AA327" s="49">
        <f>'Kalkulace a Porovnání'!AA327</f>
        <v>1.4E-2</v>
      </c>
      <c r="AB327" s="32">
        <f>'Kalkulace a Porovnání'!AB327</f>
        <v>-1.4E-2</v>
      </c>
      <c r="AC327" s="183"/>
      <c r="AD327" s="547"/>
      <c r="AG327" s="549"/>
      <c r="AH327" s="549"/>
      <c r="AI327" s="342"/>
      <c r="AJ327" s="342"/>
      <c r="AK327" s="547"/>
      <c r="AL327" s="183"/>
    </row>
    <row r="328" spans="2:38" x14ac:dyDescent="0.25">
      <c r="B328" s="12" t="s">
        <v>71</v>
      </c>
      <c r="C328" s="13" t="s">
        <v>68</v>
      </c>
      <c r="D328" s="3" t="s">
        <v>66</v>
      </c>
      <c r="E328" s="49">
        <f>'Kalkulace a Porovnání'!E328</f>
        <v>0</v>
      </c>
      <c r="F328" s="49">
        <f>'Kalkulace a Porovnání'!F328</f>
        <v>0</v>
      </c>
      <c r="G328" s="49">
        <f>'Kalkulace a Porovnání'!G328</f>
        <v>0</v>
      </c>
      <c r="H328" s="32">
        <f>'Kalkulace a Porovnání'!H328</f>
        <v>7.4190000000000002E-3</v>
      </c>
      <c r="K328" s="12" t="s">
        <v>71</v>
      </c>
      <c r="L328" s="13" t="s">
        <v>68</v>
      </c>
      <c r="M328" s="3" t="s">
        <v>66</v>
      </c>
      <c r="N328" s="49">
        <f>'Kalkulace a Porovnání'!N328</f>
        <v>0</v>
      </c>
      <c r="O328" s="49">
        <f>'Kalkulace a Porovnání'!O328</f>
        <v>0</v>
      </c>
      <c r="P328" s="49">
        <f>'Kalkulace a Porovnání'!P328</f>
        <v>0</v>
      </c>
      <c r="Q328" s="32">
        <f>'Kalkulace a Porovnání'!Q328</f>
        <v>0</v>
      </c>
      <c r="T328" s="12" t="s">
        <v>71</v>
      </c>
      <c r="U328" s="13" t="s">
        <v>68</v>
      </c>
      <c r="V328" s="3" t="s">
        <v>66</v>
      </c>
      <c r="W328" s="49">
        <f>'Kalkulace a Porovnání'!W328</f>
        <v>0</v>
      </c>
      <c r="X328" s="49">
        <f>'Kalkulace a Porovnání'!X328</f>
        <v>0</v>
      </c>
      <c r="Y328" s="49">
        <f>'Kalkulace a Porovnání'!Y328</f>
        <v>0</v>
      </c>
      <c r="Z328" s="49">
        <f>'Kalkulace a Porovnání'!Z328</f>
        <v>0</v>
      </c>
      <c r="AA328" s="49">
        <f>'Kalkulace a Porovnání'!AA328</f>
        <v>7.4190000000000002E-3</v>
      </c>
      <c r="AB328" s="32">
        <f>'Kalkulace a Porovnání'!AB328</f>
        <v>-7.4190000000000002E-3</v>
      </c>
      <c r="AC328" s="183"/>
      <c r="AD328" s="547"/>
      <c r="AG328" s="546"/>
      <c r="AH328" s="546"/>
      <c r="AI328" s="342"/>
      <c r="AJ328" s="342"/>
      <c r="AK328" s="547"/>
      <c r="AL328" s="183"/>
    </row>
    <row r="329" spans="2:38" x14ac:dyDescent="0.25">
      <c r="B329" s="12" t="s">
        <v>72</v>
      </c>
      <c r="C329" s="13" t="s">
        <v>73</v>
      </c>
      <c r="D329" s="3" t="s">
        <v>66</v>
      </c>
      <c r="E329" s="49">
        <f>'Kalkulace a Porovnání'!E329</f>
        <v>0</v>
      </c>
      <c r="F329" s="49">
        <f>'Kalkulace a Porovnání'!F329</f>
        <v>0</v>
      </c>
      <c r="G329" s="49">
        <f>'Kalkulace a Porovnání'!G329</f>
        <v>0</v>
      </c>
      <c r="H329" s="32">
        <f>'Kalkulace a Porovnání'!H329</f>
        <v>0</v>
      </c>
      <c r="K329" s="12" t="s">
        <v>72</v>
      </c>
      <c r="L329" s="13" t="s">
        <v>73</v>
      </c>
      <c r="M329" s="3" t="s">
        <v>66</v>
      </c>
      <c r="N329" s="49">
        <f>'Kalkulace a Porovnání'!N329</f>
        <v>0</v>
      </c>
      <c r="O329" s="49">
        <f>'Kalkulace a Porovnání'!O329</f>
        <v>0</v>
      </c>
      <c r="P329" s="49">
        <f>'Kalkulace a Porovnání'!P329</f>
        <v>0</v>
      </c>
      <c r="Q329" s="32">
        <f>'Kalkulace a Porovnání'!Q329</f>
        <v>0</v>
      </c>
      <c r="T329" s="12" t="s">
        <v>72</v>
      </c>
      <c r="U329" s="13" t="s">
        <v>73</v>
      </c>
      <c r="V329" s="3" t="s">
        <v>66</v>
      </c>
      <c r="W329" s="49">
        <f>'Kalkulace a Porovnání'!W329</f>
        <v>0</v>
      </c>
      <c r="X329" s="49">
        <f>'Kalkulace a Porovnání'!X329</f>
        <v>0</v>
      </c>
      <c r="Y329" s="49">
        <f>'Kalkulace a Porovnání'!Y329</f>
        <v>0</v>
      </c>
      <c r="Z329" s="49">
        <f>'Kalkulace a Porovnání'!Z329</f>
        <v>0</v>
      </c>
      <c r="AA329" s="49">
        <f>'Kalkulace a Porovnání'!AA329</f>
        <v>0</v>
      </c>
      <c r="AB329" s="32">
        <f>'Kalkulace a Porovnání'!AB329</f>
        <v>0</v>
      </c>
      <c r="AC329" s="183"/>
      <c r="AD329" s="547"/>
      <c r="AG329" s="184"/>
      <c r="AH329" s="184"/>
      <c r="AI329" s="549"/>
      <c r="AJ329" s="549"/>
      <c r="AK329" s="547"/>
      <c r="AL329" s="183"/>
    </row>
    <row r="330" spans="2:38" x14ac:dyDescent="0.25">
      <c r="B330" s="12" t="s">
        <v>74</v>
      </c>
      <c r="C330" s="13" t="s">
        <v>75</v>
      </c>
      <c r="D330" s="3" t="s">
        <v>66</v>
      </c>
      <c r="E330" s="49">
        <f>'Kalkulace a Porovnání'!E330</f>
        <v>0</v>
      </c>
      <c r="F330" s="49">
        <f>'Kalkulace a Porovnání'!F330</f>
        <v>0</v>
      </c>
      <c r="G330" s="49">
        <f>'Kalkulace a Porovnání'!G330</f>
        <v>0</v>
      </c>
      <c r="H330" s="32">
        <f>'Kalkulace a Porovnání'!H330</f>
        <v>0</v>
      </c>
      <c r="K330" s="12" t="s">
        <v>74</v>
      </c>
      <c r="L330" s="13" t="s">
        <v>75</v>
      </c>
      <c r="M330" s="3" t="s">
        <v>66</v>
      </c>
      <c r="N330" s="49">
        <f>'Kalkulace a Porovnání'!N330</f>
        <v>0</v>
      </c>
      <c r="O330" s="49">
        <f>'Kalkulace a Porovnání'!O330</f>
        <v>0</v>
      </c>
      <c r="P330" s="49">
        <f>'Kalkulace a Porovnání'!P330</f>
        <v>0</v>
      </c>
      <c r="Q330" s="32">
        <f>'Kalkulace a Porovnání'!Q330</f>
        <v>0</v>
      </c>
      <c r="T330" s="12" t="s">
        <v>74</v>
      </c>
      <c r="U330" s="13" t="s">
        <v>75</v>
      </c>
      <c r="V330" s="3" t="s">
        <v>66</v>
      </c>
      <c r="W330" s="49">
        <f>'Kalkulace a Porovnání'!W330</f>
        <v>0</v>
      </c>
      <c r="X330" s="49">
        <f>'Kalkulace a Porovnání'!X330</f>
        <v>0</v>
      </c>
      <c r="Y330" s="49">
        <f>'Kalkulace a Porovnání'!Y330</f>
        <v>0</v>
      </c>
      <c r="Z330" s="49">
        <f>'Kalkulace a Porovnání'!Z330</f>
        <v>0</v>
      </c>
      <c r="AA330" s="49">
        <f>'Kalkulace a Porovnání'!AA330</f>
        <v>0</v>
      </c>
      <c r="AB330" s="32">
        <f>'Kalkulace a Porovnání'!AB330</f>
        <v>0</v>
      </c>
      <c r="AC330" s="183"/>
      <c r="AD330" s="547"/>
      <c r="AG330" s="184"/>
      <c r="AH330" s="184"/>
      <c r="AI330" s="549"/>
      <c r="AJ330" s="549"/>
      <c r="AK330" s="547"/>
      <c r="AL330" s="183"/>
    </row>
    <row r="331" spans="2:38" x14ac:dyDescent="0.25">
      <c r="B331" s="12" t="s">
        <v>76</v>
      </c>
      <c r="C331" s="13" t="s">
        <v>77</v>
      </c>
      <c r="D331" s="3" t="s">
        <v>66</v>
      </c>
      <c r="E331" s="49">
        <f>'Kalkulace a Porovnání'!E331</f>
        <v>0</v>
      </c>
      <c r="F331" s="49">
        <f>'Kalkulace a Porovnání'!F331</f>
        <v>0</v>
      </c>
      <c r="G331" s="49">
        <f>'Kalkulace a Porovnání'!G331</f>
        <v>0</v>
      </c>
      <c r="H331" s="32">
        <f>'Kalkulace a Porovnání'!H331</f>
        <v>0</v>
      </c>
      <c r="K331" s="12" t="s">
        <v>76</v>
      </c>
      <c r="L331" s="13" t="s">
        <v>77</v>
      </c>
      <c r="M331" s="3" t="s">
        <v>66</v>
      </c>
      <c r="N331" s="49">
        <f>'Kalkulace a Porovnání'!N331</f>
        <v>0</v>
      </c>
      <c r="O331" s="49">
        <f>'Kalkulace a Porovnání'!O331</f>
        <v>0</v>
      </c>
      <c r="P331" s="49">
        <f>'Kalkulace a Porovnání'!P331</f>
        <v>0</v>
      </c>
      <c r="Q331" s="32">
        <f>'Kalkulace a Porovnání'!Q331</f>
        <v>0</v>
      </c>
      <c r="T331" s="12" t="s">
        <v>76</v>
      </c>
      <c r="U331" s="13" t="s">
        <v>77</v>
      </c>
      <c r="V331" s="3" t="s">
        <v>66</v>
      </c>
      <c r="W331" s="49">
        <f>'Kalkulace a Porovnání'!W331</f>
        <v>0</v>
      </c>
      <c r="X331" s="49">
        <f>'Kalkulace a Porovnání'!X331</f>
        <v>0</v>
      </c>
      <c r="Y331" s="49">
        <f>'Kalkulace a Porovnání'!Y331</f>
        <v>0</v>
      </c>
      <c r="Z331" s="49">
        <f>'Kalkulace a Porovnání'!Z331</f>
        <v>0</v>
      </c>
      <c r="AA331" s="49">
        <f>'Kalkulace a Porovnání'!AA331</f>
        <v>0</v>
      </c>
      <c r="AB331" s="32">
        <f>'Kalkulace a Porovnání'!AB331</f>
        <v>0</v>
      </c>
      <c r="AC331" s="183"/>
      <c r="AD331" s="547"/>
      <c r="AG331" s="184"/>
      <c r="AH331" s="184"/>
      <c r="AI331" s="549"/>
      <c r="AJ331" s="549"/>
      <c r="AK331" s="547"/>
      <c r="AL331" s="183"/>
    </row>
    <row r="332" spans="2:38" x14ac:dyDescent="0.25">
      <c r="B332" s="12" t="s">
        <v>78</v>
      </c>
      <c r="C332" s="13" t="s">
        <v>79</v>
      </c>
      <c r="D332" s="3" t="s">
        <v>66</v>
      </c>
      <c r="E332" s="49">
        <f>'Kalkulace a Porovnání'!E332</f>
        <v>0</v>
      </c>
      <c r="F332" s="49">
        <f>'Kalkulace a Porovnání'!F332</f>
        <v>0</v>
      </c>
      <c r="G332" s="49">
        <f>'Kalkulace a Porovnání'!G332</f>
        <v>0</v>
      </c>
      <c r="H332" s="32">
        <f>'Kalkulace a Porovnání'!H332</f>
        <v>1.4E-2</v>
      </c>
      <c r="K332" s="12" t="s">
        <v>78</v>
      </c>
      <c r="L332" s="13" t="s">
        <v>79</v>
      </c>
      <c r="M332" s="3" t="s">
        <v>66</v>
      </c>
      <c r="N332" s="49">
        <f>'Kalkulace a Porovnání'!N332</f>
        <v>0</v>
      </c>
      <c r="O332" s="49">
        <f>'Kalkulace a Porovnání'!O332</f>
        <v>0</v>
      </c>
      <c r="P332" s="49">
        <f>'Kalkulace a Porovnání'!P332</f>
        <v>0</v>
      </c>
      <c r="Q332" s="32">
        <f>'Kalkulace a Porovnání'!Q332</f>
        <v>0</v>
      </c>
      <c r="T332" s="12" t="s">
        <v>78</v>
      </c>
      <c r="U332" s="13" t="s">
        <v>79</v>
      </c>
      <c r="V332" s="3" t="s">
        <v>66</v>
      </c>
      <c r="W332" s="49">
        <f>'Kalkulace a Porovnání'!W332</f>
        <v>0</v>
      </c>
      <c r="X332" s="49">
        <f>'Kalkulace a Porovnání'!X332</f>
        <v>0</v>
      </c>
      <c r="Y332" s="49">
        <f>'Kalkulace a Porovnání'!Y332</f>
        <v>0</v>
      </c>
      <c r="Z332" s="49">
        <f>'Kalkulace a Porovnání'!Z332</f>
        <v>0</v>
      </c>
      <c r="AA332" s="49">
        <f>'Kalkulace a Porovnání'!AA332</f>
        <v>1.4E-2</v>
      </c>
      <c r="AB332" s="32">
        <f>'Kalkulace a Porovnání'!AB332</f>
        <v>-1.4E-2</v>
      </c>
      <c r="AC332" s="183"/>
      <c r="AD332" s="547"/>
      <c r="AG332" s="421"/>
      <c r="AH332" s="421"/>
      <c r="AI332" s="342"/>
      <c r="AJ332" s="342"/>
      <c r="AK332" s="547"/>
      <c r="AL332" s="183"/>
    </row>
    <row r="333" spans="2:38" x14ac:dyDescent="0.25">
      <c r="B333" s="1"/>
      <c r="C333" s="1"/>
      <c r="D333" s="1"/>
      <c r="E333" s="1"/>
      <c r="F333" s="1"/>
      <c r="G333" s="1"/>
      <c r="H333" s="1"/>
      <c r="K333" s="1"/>
      <c r="L333" s="1"/>
      <c r="M333" s="1"/>
      <c r="N333" s="1"/>
      <c r="O333" s="1"/>
      <c r="P333" s="1"/>
      <c r="Q333" s="1"/>
      <c r="T333" s="1"/>
      <c r="U333" s="1"/>
      <c r="V333" s="1"/>
      <c r="W333" s="1"/>
      <c r="X333" s="1"/>
      <c r="Y333" s="1"/>
      <c r="Z333" s="1"/>
      <c r="AA333" s="1"/>
      <c r="AB333" s="1"/>
      <c r="AC333" s="183"/>
      <c r="AD333" s="547"/>
      <c r="AG333" s="547"/>
      <c r="AH333" s="547"/>
      <c r="AI333" s="547"/>
      <c r="AJ333" s="547"/>
      <c r="AK333" s="547"/>
      <c r="AL333" s="183"/>
    </row>
    <row r="334" spans="2:38" x14ac:dyDescent="0.25">
      <c r="B334" s="932" t="s">
        <v>5</v>
      </c>
      <c r="C334" s="721" t="s">
        <v>80</v>
      </c>
      <c r="D334" s="722"/>
      <c r="E334" s="723"/>
      <c r="F334" s="724"/>
      <c r="G334" s="722"/>
      <c r="H334" s="725"/>
      <c r="K334" s="932" t="s">
        <v>5</v>
      </c>
      <c r="L334" s="721" t="s">
        <v>80</v>
      </c>
      <c r="M334" s="722"/>
      <c r="N334" s="723"/>
      <c r="O334" s="724"/>
      <c r="P334" s="722"/>
      <c r="Q334" s="725"/>
      <c r="T334" s="771" t="s">
        <v>5</v>
      </c>
      <c r="U334" s="721" t="s">
        <v>80</v>
      </c>
      <c r="V334" s="722"/>
      <c r="W334" s="723"/>
      <c r="X334" s="723"/>
      <c r="Y334" s="724"/>
      <c r="Z334" s="722"/>
      <c r="AA334" s="722"/>
      <c r="AB334" s="725"/>
      <c r="AC334" s="183"/>
      <c r="AD334" s="547"/>
      <c r="AG334" s="547"/>
      <c r="AH334" s="547"/>
      <c r="AI334" s="547"/>
      <c r="AJ334" s="547"/>
      <c r="AK334" s="547"/>
      <c r="AL334" s="183"/>
    </row>
    <row r="335" spans="2:38" x14ac:dyDescent="0.25">
      <c r="B335" s="930"/>
      <c r="C335" s="932" t="s">
        <v>81</v>
      </c>
      <c r="D335" s="929" t="s">
        <v>173</v>
      </c>
      <c r="E335" s="874" t="s">
        <v>118</v>
      </c>
      <c r="F335" s="937"/>
      <c r="G335" s="26" t="s">
        <v>3</v>
      </c>
      <c r="H335" s="23" t="s">
        <v>4</v>
      </c>
      <c r="K335" s="930"/>
      <c r="L335" s="5" t="s">
        <v>81</v>
      </c>
      <c r="M335" s="929" t="s">
        <v>173</v>
      </c>
      <c r="N335" s="874" t="s">
        <v>118</v>
      </c>
      <c r="O335" s="937"/>
      <c r="P335" s="26" t="s">
        <v>3</v>
      </c>
      <c r="Q335" s="23" t="s">
        <v>4</v>
      </c>
      <c r="T335" s="934"/>
      <c r="U335" s="932" t="s">
        <v>81</v>
      </c>
      <c r="V335" s="929" t="s">
        <v>173</v>
      </c>
      <c r="W335" s="874" t="s">
        <v>118</v>
      </c>
      <c r="X335" s="937"/>
      <c r="Y335" s="874" t="s">
        <v>3</v>
      </c>
      <c r="Z335" s="939"/>
      <c r="AA335" s="940" t="s">
        <v>4</v>
      </c>
      <c r="AB335" s="940"/>
      <c r="AC335" s="183"/>
      <c r="AD335" s="547"/>
      <c r="AG335" s="547"/>
      <c r="AH335" s="547"/>
      <c r="AI335" s="547"/>
      <c r="AJ335" s="547"/>
      <c r="AK335" s="547"/>
      <c r="AL335" s="183"/>
    </row>
    <row r="336" spans="2:38" x14ac:dyDescent="0.25">
      <c r="B336" s="931"/>
      <c r="C336" s="931"/>
      <c r="D336" s="936"/>
      <c r="E336" s="875"/>
      <c r="F336" s="938"/>
      <c r="G336" s="27" t="s">
        <v>7</v>
      </c>
      <c r="H336" s="24" t="s">
        <v>7</v>
      </c>
      <c r="K336" s="931"/>
      <c r="L336" s="8"/>
      <c r="M336" s="936"/>
      <c r="N336" s="875"/>
      <c r="O336" s="938"/>
      <c r="P336" s="27" t="s">
        <v>7</v>
      </c>
      <c r="Q336" s="24" t="s">
        <v>7</v>
      </c>
      <c r="T336" s="935"/>
      <c r="U336" s="931"/>
      <c r="V336" s="936"/>
      <c r="W336" s="875"/>
      <c r="X336" s="938"/>
      <c r="Y336" s="40" t="s">
        <v>196</v>
      </c>
      <c r="Z336" s="40" t="s">
        <v>7</v>
      </c>
      <c r="AA336" s="40" t="s">
        <v>196</v>
      </c>
      <c r="AB336" s="40" t="s">
        <v>7</v>
      </c>
      <c r="AC336" s="183"/>
      <c r="AD336" s="547"/>
      <c r="AG336" s="547"/>
      <c r="AH336" s="547"/>
      <c r="AI336" s="547"/>
      <c r="AJ336" s="547"/>
      <c r="AK336" s="547"/>
      <c r="AL336" s="183"/>
    </row>
    <row r="337" spans="2:38" x14ac:dyDescent="0.25">
      <c r="B337" s="11">
        <v>1</v>
      </c>
      <c r="C337" s="11">
        <v>2</v>
      </c>
      <c r="D337" s="11" t="s">
        <v>111</v>
      </c>
      <c r="E337" s="735" t="s">
        <v>115</v>
      </c>
      <c r="F337" s="736"/>
      <c r="G337" s="11" t="s">
        <v>116</v>
      </c>
      <c r="H337" s="22" t="s">
        <v>117</v>
      </c>
      <c r="K337" s="11">
        <v>1</v>
      </c>
      <c r="L337" s="11">
        <v>2</v>
      </c>
      <c r="M337" s="11" t="s">
        <v>111</v>
      </c>
      <c r="N337" s="735" t="s">
        <v>115</v>
      </c>
      <c r="O337" s="736"/>
      <c r="P337" s="11" t="s">
        <v>116</v>
      </c>
      <c r="Q337" s="22" t="s">
        <v>117</v>
      </c>
      <c r="T337" s="11">
        <v>1</v>
      </c>
      <c r="U337" s="11">
        <v>2</v>
      </c>
      <c r="V337" s="11" t="s">
        <v>111</v>
      </c>
      <c r="W337" s="944" t="s">
        <v>115</v>
      </c>
      <c r="X337" s="945"/>
      <c r="Y337" s="11" t="s">
        <v>201</v>
      </c>
      <c r="Z337" s="11" t="s">
        <v>116</v>
      </c>
      <c r="AA337" s="11" t="s">
        <v>200</v>
      </c>
      <c r="AB337" s="22" t="s">
        <v>117</v>
      </c>
      <c r="AC337" s="183"/>
      <c r="AD337" s="547"/>
      <c r="AG337" s="547"/>
      <c r="AH337" s="547"/>
      <c r="AI337" s="547"/>
      <c r="AJ337" s="547"/>
      <c r="AK337" s="547"/>
      <c r="AL337" s="183"/>
    </row>
    <row r="338" spans="2:38" x14ac:dyDescent="0.25">
      <c r="B338" s="12" t="s">
        <v>82</v>
      </c>
      <c r="C338" s="13" t="s">
        <v>127</v>
      </c>
      <c r="D338" s="13" t="s">
        <v>83</v>
      </c>
      <c r="E338" s="732" t="s">
        <v>120</v>
      </c>
      <c r="F338" s="733"/>
      <c r="G338" s="172">
        <f>'Kalkulace a Porovnání'!G338</f>
        <v>0</v>
      </c>
      <c r="H338" s="172">
        <f ca="1">'Kalkulace a Porovnání'!H338</f>
        <v>31.428571428571423</v>
      </c>
      <c r="K338" s="12" t="s">
        <v>82</v>
      </c>
      <c r="L338" s="13" t="s">
        <v>127</v>
      </c>
      <c r="M338" s="13" t="s">
        <v>83</v>
      </c>
      <c r="N338" s="732" t="s">
        <v>120</v>
      </c>
      <c r="O338" s="733"/>
      <c r="P338" s="172">
        <f>'Kalkulace a Porovnání'!P338</f>
        <v>0</v>
      </c>
      <c r="Q338" s="172">
        <f>'Kalkulace a Porovnání'!Q338</f>
        <v>0</v>
      </c>
      <c r="T338" s="12" t="s">
        <v>82</v>
      </c>
      <c r="U338" s="13" t="s">
        <v>127</v>
      </c>
      <c r="V338" s="13" t="s">
        <v>83</v>
      </c>
      <c r="W338" s="13" t="s">
        <v>120</v>
      </c>
      <c r="X338" s="101"/>
      <c r="Y338" s="172">
        <f>'Kalkulace a Porovnání'!Y338</f>
        <v>0</v>
      </c>
      <c r="Z338" s="172">
        <f>'Kalkulace a Porovnání'!Z338</f>
        <v>0</v>
      </c>
      <c r="AA338" s="172">
        <f>'Kalkulace a Porovnání'!AA338</f>
        <v>0</v>
      </c>
      <c r="AB338" s="172">
        <f ca="1">'Kalkulace a Porovnání'!AB338</f>
        <v>31.428571428571423</v>
      </c>
      <c r="AC338" s="183"/>
      <c r="AD338" s="547"/>
      <c r="AG338" s="547"/>
      <c r="AH338" s="547"/>
      <c r="AI338" s="547"/>
      <c r="AJ338" s="547"/>
      <c r="AK338" s="547"/>
      <c r="AL338" s="183"/>
    </row>
    <row r="339" spans="2:38" x14ac:dyDescent="0.25">
      <c r="B339" s="12" t="s">
        <v>84</v>
      </c>
      <c r="C339" s="13" t="s">
        <v>85</v>
      </c>
      <c r="D339" s="13" t="s">
        <v>10</v>
      </c>
      <c r="E339" s="732" t="s">
        <v>121</v>
      </c>
      <c r="F339" s="733"/>
      <c r="G339" s="449">
        <f>'Kalkulace a Porovnání'!G339</f>
        <v>0</v>
      </c>
      <c r="H339" s="449">
        <f ca="1">'Kalkulace a Porovnání'!H339</f>
        <v>0.43999999999999995</v>
      </c>
      <c r="K339" s="12" t="s">
        <v>84</v>
      </c>
      <c r="L339" s="13" t="s">
        <v>85</v>
      </c>
      <c r="M339" s="13" t="s">
        <v>10</v>
      </c>
      <c r="N339" s="732" t="s">
        <v>121</v>
      </c>
      <c r="O339" s="733"/>
      <c r="P339" s="449">
        <f>'Kalkulace a Porovnání'!P339</f>
        <v>0</v>
      </c>
      <c r="Q339" s="449">
        <f>'Kalkulace a Porovnání'!Q339</f>
        <v>0</v>
      </c>
      <c r="T339" s="12" t="s">
        <v>84</v>
      </c>
      <c r="U339" s="13" t="s">
        <v>85</v>
      </c>
      <c r="V339" s="13" t="s">
        <v>10</v>
      </c>
      <c r="W339" s="13" t="s">
        <v>121</v>
      </c>
      <c r="X339" s="101"/>
      <c r="Y339" s="449">
        <f>'Kalkulace a Porovnání'!Y339</f>
        <v>0</v>
      </c>
      <c r="Z339" s="449">
        <f>'Kalkulace a Porovnání'!Z339</f>
        <v>0</v>
      </c>
      <c r="AA339" s="449">
        <f>'Kalkulace a Porovnání'!AA339</f>
        <v>0</v>
      </c>
      <c r="AB339" s="449">
        <f ca="1">'Kalkulace a Porovnání'!AB339</f>
        <v>0.43999999999999995</v>
      </c>
      <c r="AC339" s="183"/>
      <c r="AD339" s="547"/>
      <c r="AG339" s="547"/>
      <c r="AH339" s="547"/>
      <c r="AI339" s="547"/>
      <c r="AJ339" s="547"/>
      <c r="AK339" s="547"/>
      <c r="AL339" s="183"/>
    </row>
    <row r="340" spans="2:38" x14ac:dyDescent="0.25">
      <c r="B340" s="12" t="s">
        <v>86</v>
      </c>
      <c r="C340" s="13" t="s">
        <v>87</v>
      </c>
      <c r="D340" s="13" t="s">
        <v>10</v>
      </c>
      <c r="E340" s="732"/>
      <c r="F340" s="733"/>
      <c r="G340" s="449">
        <f>'Kalkulace a Porovnání'!G340</f>
        <v>0</v>
      </c>
      <c r="H340" s="449">
        <f ca="1">'Kalkulace a Porovnání'!H340</f>
        <v>7.758654207907981E-3</v>
      </c>
      <c r="K340" s="12" t="s">
        <v>86</v>
      </c>
      <c r="L340" s="13" t="s">
        <v>87</v>
      </c>
      <c r="M340" s="13" t="s">
        <v>10</v>
      </c>
      <c r="N340" s="732"/>
      <c r="O340" s="733"/>
      <c r="P340" s="449">
        <f>'Kalkulace a Porovnání'!P340</f>
        <v>0</v>
      </c>
      <c r="Q340" s="449">
        <f>'Kalkulace a Porovnání'!Q340</f>
        <v>0</v>
      </c>
      <c r="T340" s="12" t="s">
        <v>86</v>
      </c>
      <c r="U340" s="13" t="s">
        <v>87</v>
      </c>
      <c r="V340" s="13" t="s">
        <v>10</v>
      </c>
      <c r="W340" s="13"/>
      <c r="X340" s="101"/>
      <c r="Y340" s="449">
        <f>'Kalkulace a Porovnání'!Y340</f>
        <v>0</v>
      </c>
      <c r="Z340" s="449">
        <f>'Kalkulace a Porovnání'!Z340</f>
        <v>0</v>
      </c>
      <c r="AA340" s="449">
        <f>'Kalkulace a Porovnání'!AA340</f>
        <v>0</v>
      </c>
      <c r="AB340" s="449">
        <f ca="1">'Kalkulace a Porovnání'!AB340</f>
        <v>7.758654207907981E-3</v>
      </c>
      <c r="AC340" s="183"/>
      <c r="AD340" s="547"/>
      <c r="AG340" s="547"/>
      <c r="AH340" s="547"/>
      <c r="AI340" s="547"/>
      <c r="AJ340" s="547"/>
      <c r="AK340" s="547"/>
      <c r="AL340" s="183"/>
    </row>
    <row r="341" spans="2:38" x14ac:dyDescent="0.25">
      <c r="B341" s="12" t="s">
        <v>88</v>
      </c>
      <c r="C341" s="21" t="s">
        <v>89</v>
      </c>
      <c r="D341" s="13" t="s">
        <v>90</v>
      </c>
      <c r="E341" s="732" t="s">
        <v>123</v>
      </c>
      <c r="F341" s="733"/>
      <c r="G341" s="172">
        <f>'Kalkulace a Porovnání'!G341</f>
        <v>0</v>
      </c>
      <c r="H341" s="172">
        <f ca="1">'Kalkulace a Porovnání'!H341</f>
        <v>1.7633305017972687</v>
      </c>
      <c r="K341" s="12" t="s">
        <v>88</v>
      </c>
      <c r="L341" s="21" t="s">
        <v>89</v>
      </c>
      <c r="M341" s="13" t="s">
        <v>90</v>
      </c>
      <c r="N341" s="732" t="s">
        <v>123</v>
      </c>
      <c r="O341" s="733"/>
      <c r="P341" s="172">
        <f>'Kalkulace a Porovnání'!P341</f>
        <v>0</v>
      </c>
      <c r="Q341" s="172">
        <f>'Kalkulace a Porovnání'!Q341</f>
        <v>0</v>
      </c>
      <c r="T341" s="12" t="s">
        <v>88</v>
      </c>
      <c r="U341" s="21" t="s">
        <v>89</v>
      </c>
      <c r="V341" s="13" t="s">
        <v>90</v>
      </c>
      <c r="W341" s="13" t="s">
        <v>123</v>
      </c>
      <c r="X341" s="101"/>
      <c r="Y341" s="172">
        <f>'Kalkulace a Porovnání'!Y341</f>
        <v>0</v>
      </c>
      <c r="Z341" s="172">
        <f>'Kalkulace a Porovnání'!Z341</f>
        <v>0</v>
      </c>
      <c r="AA341" s="172">
        <f>'Kalkulace a Porovnání'!AA341</f>
        <v>0</v>
      </c>
      <c r="AB341" s="172">
        <f ca="1">'Kalkulace a Porovnání'!AB341</f>
        <v>1.7633305017972687</v>
      </c>
      <c r="AC341" s="183"/>
      <c r="AD341" s="547"/>
      <c r="AG341" s="547"/>
      <c r="AH341" s="547"/>
      <c r="AI341" s="547"/>
      <c r="AJ341" s="547"/>
      <c r="AK341" s="547"/>
      <c r="AL341" s="183"/>
    </row>
    <row r="342" spans="2:38" x14ac:dyDescent="0.25">
      <c r="B342" s="12" t="s">
        <v>91</v>
      </c>
      <c r="C342" s="21" t="s">
        <v>92</v>
      </c>
      <c r="D342" s="13" t="s">
        <v>10</v>
      </c>
      <c r="E342" s="732"/>
      <c r="F342" s="733"/>
      <c r="G342" s="449">
        <f>'Kalkulace a Porovnání'!G342</f>
        <v>0</v>
      </c>
      <c r="H342" s="449">
        <f>'Kalkulace a Porovnání'!H342</f>
        <v>0</v>
      </c>
      <c r="K342" s="12" t="s">
        <v>91</v>
      </c>
      <c r="L342" s="21" t="s">
        <v>92</v>
      </c>
      <c r="M342" s="13" t="s">
        <v>10</v>
      </c>
      <c r="N342" s="732"/>
      <c r="O342" s="733"/>
      <c r="P342" s="449">
        <f>'Kalkulace a Porovnání'!P342</f>
        <v>0</v>
      </c>
      <c r="Q342" s="449">
        <f>'Kalkulace a Porovnání'!Q342</f>
        <v>0</v>
      </c>
      <c r="T342" s="12" t="s">
        <v>91</v>
      </c>
      <c r="U342" s="21" t="s">
        <v>92</v>
      </c>
      <c r="V342" s="13" t="s">
        <v>10</v>
      </c>
      <c r="W342" s="13"/>
      <c r="X342" s="101"/>
      <c r="Y342" s="449">
        <f>'Kalkulace a Porovnání'!Y342</f>
        <v>0</v>
      </c>
      <c r="Z342" s="449">
        <f>'Kalkulace a Porovnání'!Z342</f>
        <v>0</v>
      </c>
      <c r="AA342" s="449">
        <f>'Kalkulace a Porovnání'!AA342</f>
        <v>0</v>
      </c>
      <c r="AB342" s="449">
        <f>'Kalkulace a Porovnání'!AB342</f>
        <v>0</v>
      </c>
      <c r="AC342" s="183"/>
      <c r="AD342" s="547"/>
      <c r="AG342" s="547"/>
      <c r="AH342" s="547"/>
      <c r="AI342" s="547"/>
      <c r="AJ342" s="547"/>
      <c r="AK342" s="547"/>
      <c r="AL342" s="183"/>
    </row>
    <row r="343" spans="2:38" x14ac:dyDescent="0.25">
      <c r="B343" s="12" t="s">
        <v>93</v>
      </c>
      <c r="C343" s="13" t="s">
        <v>94</v>
      </c>
      <c r="D343" s="13" t="s">
        <v>10</v>
      </c>
      <c r="E343" s="732" t="s">
        <v>122</v>
      </c>
      <c r="F343" s="733"/>
      <c r="G343" s="449">
        <f>'Kalkulace a Porovnání'!G343</f>
        <v>0</v>
      </c>
      <c r="H343" s="449">
        <f ca="1">'Kalkulace a Porovnání'!H343</f>
        <v>0.44775865420790795</v>
      </c>
      <c r="K343" s="12" t="s">
        <v>93</v>
      </c>
      <c r="L343" s="13" t="s">
        <v>94</v>
      </c>
      <c r="M343" s="13" t="s">
        <v>10</v>
      </c>
      <c r="N343" s="732" t="s">
        <v>122</v>
      </c>
      <c r="O343" s="733"/>
      <c r="P343" s="449">
        <f>'Kalkulace a Porovnání'!P343</f>
        <v>0</v>
      </c>
      <c r="Q343" s="449">
        <f>'Kalkulace a Porovnání'!Q343</f>
        <v>0</v>
      </c>
      <c r="T343" s="12" t="s">
        <v>93</v>
      </c>
      <c r="U343" s="13" t="s">
        <v>94</v>
      </c>
      <c r="V343" s="13" t="s">
        <v>10</v>
      </c>
      <c r="W343" s="13" t="s">
        <v>122</v>
      </c>
      <c r="X343" s="101"/>
      <c r="Y343" s="449">
        <f>'Kalkulace a Porovnání'!Y343</f>
        <v>0</v>
      </c>
      <c r="Z343" s="449">
        <f>'Kalkulace a Porovnání'!Z343</f>
        <v>0</v>
      </c>
      <c r="AA343" s="449">
        <f>'Kalkulace a Porovnání'!AA343</f>
        <v>0</v>
      </c>
      <c r="AB343" s="449">
        <f ca="1">'Kalkulace a Porovnání'!AB343</f>
        <v>0.44775865420790795</v>
      </c>
      <c r="AC343" s="183"/>
      <c r="AD343" s="547"/>
      <c r="AG343" s="547"/>
      <c r="AH343" s="547"/>
      <c r="AI343" s="547"/>
      <c r="AJ343" s="547"/>
      <c r="AK343" s="547"/>
      <c r="AL343" s="183"/>
    </row>
    <row r="344" spans="2:38" x14ac:dyDescent="0.25">
      <c r="B344" s="12" t="s">
        <v>95</v>
      </c>
      <c r="C344" s="13" t="s">
        <v>96</v>
      </c>
      <c r="D344" s="13" t="s">
        <v>66</v>
      </c>
      <c r="E344" s="732" t="s">
        <v>124</v>
      </c>
      <c r="F344" s="733"/>
      <c r="G344" s="449">
        <f>'Kalkulace a Porovnání'!G344</f>
        <v>0</v>
      </c>
      <c r="H344" s="449">
        <f>'Kalkulace a Porovnání'!H344</f>
        <v>1.4E-2</v>
      </c>
      <c r="K344" s="12" t="s">
        <v>95</v>
      </c>
      <c r="L344" s="13" t="s">
        <v>96</v>
      </c>
      <c r="M344" s="13" t="s">
        <v>66</v>
      </c>
      <c r="N344" s="732" t="s">
        <v>124</v>
      </c>
      <c r="O344" s="733"/>
      <c r="P344" s="449">
        <f>'Kalkulace a Porovnání'!P344</f>
        <v>0</v>
      </c>
      <c r="Q344" s="449">
        <f>'Kalkulace a Porovnání'!Q344</f>
        <v>0</v>
      </c>
      <c r="T344" s="12" t="s">
        <v>95</v>
      </c>
      <c r="U344" s="13" t="s">
        <v>96</v>
      </c>
      <c r="V344" s="13" t="s">
        <v>66</v>
      </c>
      <c r="W344" s="13" t="s">
        <v>124</v>
      </c>
      <c r="X344" s="101"/>
      <c r="Y344" s="449">
        <f>'Kalkulace a Porovnání'!Y344</f>
        <v>0</v>
      </c>
      <c r="Z344" s="449">
        <f>'Kalkulace a Porovnání'!Z344</f>
        <v>0</v>
      </c>
      <c r="AA344" s="449">
        <f>'Kalkulace a Porovnání'!AA344</f>
        <v>0</v>
      </c>
      <c r="AB344" s="449">
        <f>'Kalkulace a Porovnání'!AB344</f>
        <v>1.4E-2</v>
      </c>
      <c r="AC344" s="183"/>
      <c r="AD344" s="547"/>
      <c r="AG344" s="547"/>
      <c r="AH344" s="547"/>
      <c r="AI344" s="547"/>
      <c r="AJ344" s="547"/>
      <c r="AK344" s="547"/>
      <c r="AL344" s="183"/>
    </row>
    <row r="345" spans="2:38" x14ac:dyDescent="0.25">
      <c r="B345" s="12" t="s">
        <v>97</v>
      </c>
      <c r="C345" s="13" t="s">
        <v>98</v>
      </c>
      <c r="D345" s="13" t="s">
        <v>83</v>
      </c>
      <c r="E345" s="732" t="s">
        <v>125</v>
      </c>
      <c r="F345" s="733"/>
      <c r="G345" s="172">
        <f>'Kalkulace a Porovnání'!G345</f>
        <v>0</v>
      </c>
      <c r="H345" s="172">
        <f ca="1">'Kalkulace a Porovnání'!H345</f>
        <v>31.982761014850567</v>
      </c>
      <c r="K345" s="12" t="s">
        <v>97</v>
      </c>
      <c r="L345" s="13" t="s">
        <v>98</v>
      </c>
      <c r="M345" s="13" t="s">
        <v>83</v>
      </c>
      <c r="N345" s="732" t="s">
        <v>125</v>
      </c>
      <c r="O345" s="733"/>
      <c r="P345" s="172">
        <f>'Kalkulace a Porovnání'!P345</f>
        <v>0</v>
      </c>
      <c r="Q345" s="172">
        <f>'Kalkulace a Porovnání'!Q345</f>
        <v>0</v>
      </c>
      <c r="T345" s="12" t="s">
        <v>97</v>
      </c>
      <c r="U345" s="13" t="s">
        <v>98</v>
      </c>
      <c r="V345" s="13" t="s">
        <v>83</v>
      </c>
      <c r="W345" s="13" t="s">
        <v>125</v>
      </c>
      <c r="X345" s="101"/>
      <c r="Y345" s="172">
        <f>'Kalkulace a Porovnání'!Y345</f>
        <v>0</v>
      </c>
      <c r="Z345" s="172">
        <f>'Kalkulace a Porovnání'!Z345</f>
        <v>0</v>
      </c>
      <c r="AA345" s="172">
        <f>'Kalkulace a Porovnání'!AA345</f>
        <v>0</v>
      </c>
      <c r="AB345" s="172">
        <f ca="1">'Kalkulace a Porovnání'!AB345</f>
        <v>31.982761014850567</v>
      </c>
      <c r="AC345" s="183"/>
      <c r="AD345" s="547"/>
      <c r="AG345" s="547"/>
      <c r="AH345" s="547"/>
      <c r="AI345" s="547"/>
      <c r="AJ345" s="547"/>
      <c r="AK345" s="547"/>
      <c r="AL345" s="183"/>
    </row>
    <row r="346" spans="2:38" x14ac:dyDescent="0.25">
      <c r="B346" s="12" t="s">
        <v>99</v>
      </c>
      <c r="C346" s="13" t="str">
        <f>CONCATENATE("CENA pro vodné, stočné + ",Provozování!E374*100,"% DPH")</f>
        <v>CENA pro vodné, stočné + 0% DPH</v>
      </c>
      <c r="D346" s="13" t="s">
        <v>83</v>
      </c>
      <c r="E346" s="732" t="s">
        <v>126</v>
      </c>
      <c r="F346" s="733"/>
      <c r="G346" s="172">
        <f>'Kalkulace a Porovnání'!G346</f>
        <v>0</v>
      </c>
      <c r="H346" s="172">
        <f ca="1">'Kalkulace a Porovnání'!H346</f>
        <v>36.780175167078148</v>
      </c>
      <c r="K346" s="12" t="s">
        <v>99</v>
      </c>
      <c r="L346" s="13" t="str">
        <f>C346</f>
        <v>CENA pro vodné, stočné + 0% DPH</v>
      </c>
      <c r="M346" s="13" t="s">
        <v>83</v>
      </c>
      <c r="N346" s="732" t="s">
        <v>126</v>
      </c>
      <c r="O346" s="733"/>
      <c r="P346" s="172">
        <f>'Kalkulace a Porovnání'!P346</f>
        <v>0</v>
      </c>
      <c r="Q346" s="172">
        <f>'Kalkulace a Porovnání'!Q346</f>
        <v>0</v>
      </c>
      <c r="T346" s="12" t="s">
        <v>99</v>
      </c>
      <c r="U346" s="13" t="str">
        <f>C346</f>
        <v>CENA pro vodné, stočné + 0% DPH</v>
      </c>
      <c r="V346" s="13" t="s">
        <v>83</v>
      </c>
      <c r="W346" s="13" t="s">
        <v>126</v>
      </c>
      <c r="X346" s="101"/>
      <c r="Y346" s="172">
        <f>'Kalkulace a Porovnání'!Y346</f>
        <v>0</v>
      </c>
      <c r="Z346" s="172">
        <f>'Kalkulace a Porovnání'!Z346</f>
        <v>0</v>
      </c>
      <c r="AA346" s="172">
        <f>'Kalkulace a Porovnání'!AA346</f>
        <v>0</v>
      </c>
      <c r="AB346" s="172">
        <f ca="1">'Kalkulace a Porovnání'!AB346</f>
        <v>36.780175167078148</v>
      </c>
      <c r="AC346" s="183"/>
      <c r="AD346" s="547"/>
      <c r="AG346" s="547"/>
      <c r="AH346" s="547"/>
      <c r="AI346" s="547"/>
      <c r="AJ346" s="547"/>
      <c r="AK346" s="547"/>
      <c r="AL346" s="183"/>
    </row>
    <row r="347" spans="2:38" x14ac:dyDescent="0.25"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T347" s="967" t="s">
        <v>203</v>
      </c>
      <c r="U347" s="967" t="s">
        <v>202</v>
      </c>
      <c r="V347" s="968" t="s">
        <v>10</v>
      </c>
      <c r="W347" s="919" t="s">
        <v>204</v>
      </c>
      <c r="X347" s="732"/>
      <c r="Y347" s="102" t="s">
        <v>206</v>
      </c>
      <c r="Z347" s="105" t="s">
        <v>207</v>
      </c>
      <c r="AA347" s="102" t="s">
        <v>206</v>
      </c>
      <c r="AB347" s="105" t="s">
        <v>207</v>
      </c>
      <c r="AC347" s="183"/>
      <c r="AD347" s="547"/>
      <c r="AG347" s="547"/>
      <c r="AH347" s="547"/>
      <c r="AI347" s="547"/>
      <c r="AJ347" s="547"/>
      <c r="AK347" s="547"/>
      <c r="AL347" s="183"/>
    </row>
    <row r="348" spans="2:38" x14ac:dyDescent="0.25">
      <c r="B348" s="500"/>
      <c r="C348" s="499"/>
      <c r="D348" s="499"/>
      <c r="E348" s="499"/>
      <c r="F348" s="499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T348" s="967"/>
      <c r="U348" s="967"/>
      <c r="V348" s="968"/>
      <c r="W348" s="969">
        <f>'Kalkulace a Porovnání'!W348</f>
        <v>0</v>
      </c>
      <c r="X348" s="970"/>
      <c r="Y348" s="103">
        <f>'Kalkulace a Porovnání'!Y348</f>
        <v>2024</v>
      </c>
      <c r="Z348" s="103">
        <f>'Kalkulace a Porovnání'!Z348</f>
        <v>2024</v>
      </c>
      <c r="AA348" s="103">
        <f>'Kalkulace a Porovnání'!AA348</f>
        <v>2024</v>
      </c>
      <c r="AB348" s="103">
        <f>'Kalkulace a Porovnání'!AB348</f>
        <v>2024</v>
      </c>
      <c r="AC348" s="183"/>
      <c r="AD348" s="547"/>
      <c r="AG348" s="547"/>
      <c r="AH348" s="547"/>
      <c r="AI348" s="547"/>
      <c r="AJ348" s="547"/>
      <c r="AK348" s="547"/>
      <c r="AL348" s="183"/>
    </row>
    <row r="349" spans="2:38" x14ac:dyDescent="0.25">
      <c r="B349" s="500"/>
      <c r="C349" s="499"/>
      <c r="D349" s="499"/>
      <c r="E349" s="499"/>
      <c r="F349" s="499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T349" s="967"/>
      <c r="U349" s="967"/>
      <c r="V349" s="968"/>
      <c r="W349" s="919" t="s">
        <v>205</v>
      </c>
      <c r="X349" s="732"/>
      <c r="Y349" s="104" t="s">
        <v>208</v>
      </c>
      <c r="Z349" s="104" t="s">
        <v>208</v>
      </c>
      <c r="AA349" s="104" t="s">
        <v>209</v>
      </c>
      <c r="AB349" s="104" t="s">
        <v>209</v>
      </c>
      <c r="AC349" s="183"/>
      <c r="AD349" s="547"/>
      <c r="AG349" s="547"/>
      <c r="AH349" s="547"/>
      <c r="AI349" s="547"/>
      <c r="AJ349" s="547"/>
      <c r="AK349" s="547"/>
      <c r="AL349" s="183"/>
    </row>
    <row r="350" spans="2:38" x14ac:dyDescent="0.25">
      <c r="B350" s="499"/>
      <c r="C350" s="499"/>
      <c r="D350" s="499"/>
      <c r="E350" s="499"/>
      <c r="F350" s="499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T350" s="967"/>
      <c r="U350" s="967"/>
      <c r="V350" s="968"/>
      <c r="W350" s="971">
        <f>'Kalkulace a Porovnání'!W350</f>
        <v>0</v>
      </c>
      <c r="X350" s="971"/>
      <c r="Y350" s="449">
        <f>'Kalkulace a Porovnání'!Y350</f>
        <v>0</v>
      </c>
      <c r="Z350" s="449">
        <f>'Kalkulace a Porovnání'!Z350</f>
        <v>0</v>
      </c>
      <c r="AA350" s="449">
        <f>'Kalkulace a Porovnání'!AA350</f>
        <v>0</v>
      </c>
      <c r="AB350" s="449">
        <f>'Kalkulace a Porovnání'!AB350</f>
        <v>0</v>
      </c>
      <c r="AC350" s="183"/>
      <c r="AD350" s="547"/>
      <c r="AG350" s="547"/>
      <c r="AH350" s="547"/>
      <c r="AI350" s="547"/>
      <c r="AJ350" s="547"/>
      <c r="AK350" s="547"/>
      <c r="AL350" s="183"/>
    </row>
    <row r="351" spans="2:38" x14ac:dyDescent="0.25">
      <c r="B351" s="31"/>
      <c r="AC351" s="183"/>
      <c r="AD351" s="547"/>
      <c r="AG351" s="547"/>
      <c r="AH351" s="547"/>
      <c r="AI351" s="547"/>
      <c r="AJ351" s="547"/>
      <c r="AK351" s="547"/>
      <c r="AL351" s="183"/>
    </row>
    <row r="352" spans="2:38" x14ac:dyDescent="0.25">
      <c r="B352" s="726" t="s">
        <v>393</v>
      </c>
      <c r="C352" s="727"/>
      <c r="D352" s="727"/>
      <c r="E352" s="727"/>
      <c r="F352" s="727"/>
      <c r="G352" s="727"/>
      <c r="H352" s="727"/>
      <c r="K352" s="726" t="s">
        <v>394</v>
      </c>
      <c r="L352" s="727"/>
      <c r="M352" s="727"/>
      <c r="N352" s="727"/>
      <c r="O352" s="727"/>
      <c r="P352" s="727"/>
      <c r="Q352" s="727"/>
      <c r="T352" s="726" t="s">
        <v>210</v>
      </c>
      <c r="U352" s="727"/>
      <c r="V352" s="727"/>
      <c r="W352" s="727"/>
      <c r="X352" s="727"/>
      <c r="Y352" s="727"/>
      <c r="Z352" s="727"/>
      <c r="AA352" s="727"/>
      <c r="AB352" s="727"/>
      <c r="AC352" s="183"/>
      <c r="AD352" s="547"/>
      <c r="AG352" s="547"/>
      <c r="AH352" s="547"/>
      <c r="AI352" s="547"/>
      <c r="AJ352" s="547"/>
      <c r="AK352" s="547"/>
      <c r="AL352" s="183"/>
    </row>
    <row r="353" spans="2:38" x14ac:dyDescent="0.25">
      <c r="C353" s="362"/>
      <c r="E353" s="25"/>
      <c r="F353" s="25"/>
      <c r="L353" s="25"/>
      <c r="N353" s="25"/>
      <c r="T353" s="950" t="s">
        <v>395</v>
      </c>
      <c r="U353" s="950"/>
      <c r="V353" s="950"/>
      <c r="W353" s="950"/>
      <c r="X353" s="950"/>
      <c r="Y353" s="950"/>
      <c r="Z353" s="950"/>
      <c r="AA353" s="950"/>
      <c r="AB353" s="950"/>
      <c r="AC353" s="183"/>
      <c r="AD353" s="547"/>
      <c r="AG353" s="547"/>
      <c r="AH353" s="547"/>
      <c r="AI353" s="547"/>
      <c r="AJ353" s="547"/>
      <c r="AK353" s="547"/>
      <c r="AL353" s="183"/>
    </row>
    <row r="354" spans="2:38" x14ac:dyDescent="0.25">
      <c r="C354" s="362" t="s">
        <v>119</v>
      </c>
      <c r="D354" s="364">
        <f>'Kalkulace a Porovnání'!D354</f>
        <v>2025</v>
      </c>
      <c r="E354" s="25"/>
      <c r="F354" s="362" t="s">
        <v>278</v>
      </c>
      <c r="G354" s="365" t="str">
        <f>'Kalkulace a Porovnání'!G354</f>
        <v>-</v>
      </c>
      <c r="H354" s="365" t="str">
        <f>'Kalkulace a Porovnání'!H354</f>
        <v xml:space="preserve"> </v>
      </c>
      <c r="L354" s="362" t="s">
        <v>119</v>
      </c>
      <c r="M354" s="364">
        <f>'Kalkulace a Porovnání'!M354</f>
        <v>2025</v>
      </c>
      <c r="O354" s="362" t="s">
        <v>278</v>
      </c>
      <c r="P354" s="365" t="str">
        <f>'Kalkulace a Porovnání'!P354</f>
        <v>-</v>
      </c>
      <c r="Q354" s="365" t="str">
        <f>'Kalkulace a Porovnání'!Q354</f>
        <v xml:space="preserve"> </v>
      </c>
      <c r="T354" s="441"/>
      <c r="U354" s="441"/>
      <c r="V354" s="451" t="s">
        <v>195</v>
      </c>
      <c r="W354" s="364">
        <f>'Kalkulace a Porovnání'!W354</f>
        <v>2025</v>
      </c>
      <c r="Z354" s="362" t="s">
        <v>278</v>
      </c>
      <c r="AA354" s="365" t="str">
        <f>'Kalkulace a Porovnání'!AA354</f>
        <v>-</v>
      </c>
      <c r="AB354" s="365" t="str">
        <f>'Kalkulace a Porovnání'!AB354</f>
        <v xml:space="preserve"> </v>
      </c>
      <c r="AC354" s="183"/>
      <c r="AD354" s="547"/>
      <c r="AG354" s="547"/>
      <c r="AH354" s="547"/>
      <c r="AI354" s="547"/>
      <c r="AJ354" s="547"/>
      <c r="AK354" s="547"/>
      <c r="AL354" s="183"/>
    </row>
    <row r="355" spans="2:38" x14ac:dyDescent="0.25">
      <c r="B355" s="13" t="s">
        <v>74</v>
      </c>
      <c r="C355" s="13" t="s">
        <v>105</v>
      </c>
      <c r="D355" s="941" t="str">
        <f>'Kalkulace a Porovnání'!D355</f>
        <v/>
      </c>
      <c r="E355" s="942"/>
      <c r="F355" s="942"/>
      <c r="G355" s="942"/>
      <c r="H355" s="943"/>
      <c r="K355" s="13" t="s">
        <v>74</v>
      </c>
      <c r="L355" s="13" t="s">
        <v>105</v>
      </c>
      <c r="M355" s="941" t="str">
        <f>'Kalkulace a Porovnání'!M355</f>
        <v/>
      </c>
      <c r="N355" s="942"/>
      <c r="O355" s="942"/>
      <c r="P355" s="942"/>
      <c r="Q355" s="943"/>
      <c r="T355" s="13" t="s">
        <v>74</v>
      </c>
      <c r="U355" s="13" t="s">
        <v>105</v>
      </c>
      <c r="V355" s="949" t="str">
        <f>'Kalkulace a Porovnání'!V355</f>
        <v/>
      </c>
      <c r="W355" s="738"/>
      <c r="X355" s="738"/>
      <c r="Y355" s="738"/>
      <c r="Z355" s="738"/>
      <c r="AA355" s="738"/>
      <c r="AB355" s="738"/>
      <c r="AC355" s="183"/>
      <c r="AD355" s="547"/>
      <c r="AG355" s="342"/>
      <c r="AH355" s="342"/>
      <c r="AI355" s="342"/>
      <c r="AJ355" s="342"/>
      <c r="AK355" s="547"/>
      <c r="AL355" s="183"/>
    </row>
    <row r="356" spans="2:38" x14ac:dyDescent="0.25">
      <c r="B356" s="13" t="s">
        <v>100</v>
      </c>
      <c r="C356" s="13" t="s">
        <v>106</v>
      </c>
      <c r="D356" s="941" t="str">
        <f>'Kalkulace a Porovnání'!D356</f>
        <v/>
      </c>
      <c r="E356" s="942"/>
      <c r="F356" s="942"/>
      <c r="G356" s="942"/>
      <c r="H356" s="943"/>
      <c r="K356" s="13" t="s">
        <v>100</v>
      </c>
      <c r="L356" s="13" t="s">
        <v>106</v>
      </c>
      <c r="M356" s="941" t="str">
        <f>'Kalkulace a Porovnání'!M356</f>
        <v/>
      </c>
      <c r="N356" s="942"/>
      <c r="O356" s="942"/>
      <c r="P356" s="942"/>
      <c r="Q356" s="943"/>
      <c r="T356" s="13" t="s">
        <v>100</v>
      </c>
      <c r="U356" s="13" t="s">
        <v>106</v>
      </c>
      <c r="V356" s="949" t="str">
        <f>'Kalkulace a Porovnání'!V356</f>
        <v/>
      </c>
      <c r="W356" s="738"/>
      <c r="X356" s="738"/>
      <c r="Y356" s="738"/>
      <c r="Z356" s="738"/>
      <c r="AA356" s="738"/>
      <c r="AB356" s="738"/>
      <c r="AC356" s="183"/>
      <c r="AD356" s="547"/>
      <c r="AG356" s="342"/>
      <c r="AH356" s="342"/>
      <c r="AI356" s="342"/>
      <c r="AJ356" s="342"/>
      <c r="AK356" s="547"/>
      <c r="AL356" s="183"/>
    </row>
    <row r="357" spans="2:38" x14ac:dyDescent="0.25">
      <c r="B357" s="13" t="s">
        <v>101</v>
      </c>
      <c r="C357" s="13" t="s">
        <v>107</v>
      </c>
      <c r="D357" s="941" t="str">
        <f>'Kalkulace a Porovnání'!D357</f>
        <v xml:space="preserve">Město Kraslice, IČ </v>
      </c>
      <c r="E357" s="942"/>
      <c r="F357" s="942"/>
      <c r="G357" s="942"/>
      <c r="H357" s="943"/>
      <c r="K357" s="13" t="s">
        <v>101</v>
      </c>
      <c r="L357" s="13" t="s">
        <v>107</v>
      </c>
      <c r="M357" s="941" t="str">
        <f>'Kalkulace a Porovnání'!M357</f>
        <v xml:space="preserve">Město Kraslice, IČ </v>
      </c>
      <c r="N357" s="942"/>
      <c r="O357" s="942"/>
      <c r="P357" s="942"/>
      <c r="Q357" s="943"/>
      <c r="T357" s="13" t="s">
        <v>101</v>
      </c>
      <c r="U357" s="13" t="s">
        <v>107</v>
      </c>
      <c r="V357" s="949" t="str">
        <f>'Kalkulace a Porovnání'!V357</f>
        <v xml:space="preserve">Město Kraslice, IČ </v>
      </c>
      <c r="W357" s="738"/>
      <c r="X357" s="738"/>
      <c r="Y357" s="738"/>
      <c r="Z357" s="738"/>
      <c r="AA357" s="738"/>
      <c r="AB357" s="738"/>
      <c r="AC357" s="183"/>
      <c r="AD357" s="547"/>
      <c r="AG357" s="342"/>
      <c r="AH357" s="342"/>
      <c r="AI357" s="342"/>
      <c r="AJ357" s="342"/>
      <c r="AK357" s="547"/>
      <c r="AL357" s="183"/>
    </row>
    <row r="358" spans="2:38" x14ac:dyDescent="0.25">
      <c r="B358" s="13" t="s">
        <v>102</v>
      </c>
      <c r="C358" s="13" t="s">
        <v>109</v>
      </c>
      <c r="D358" s="941" t="str">
        <f>'Kalkulace a Porovnání'!D358</f>
        <v>[vyplnit]</v>
      </c>
      <c r="E358" s="942"/>
      <c r="F358" s="942"/>
      <c r="G358" s="942"/>
      <c r="H358" s="943"/>
      <c r="K358" s="13" t="s">
        <v>102</v>
      </c>
      <c r="L358" s="13" t="s">
        <v>109</v>
      </c>
      <c r="M358" s="941" t="str">
        <f>'Kalkulace a Porovnání'!M358</f>
        <v xml:space="preserve"> </v>
      </c>
      <c r="N358" s="942"/>
      <c r="O358" s="942"/>
      <c r="P358" s="942"/>
      <c r="Q358" s="943"/>
      <c r="T358" s="13" t="s">
        <v>102</v>
      </c>
      <c r="U358" s="13" t="s">
        <v>109</v>
      </c>
      <c r="V358" s="949" t="str">
        <f>'Kalkulace a Porovnání'!V358</f>
        <v xml:space="preserve"> </v>
      </c>
      <c r="W358" s="738"/>
      <c r="X358" s="738"/>
      <c r="Y358" s="738"/>
      <c r="Z358" s="738"/>
      <c r="AA358" s="738"/>
      <c r="AB358" s="738"/>
      <c r="AC358" s="183"/>
      <c r="AD358" s="547"/>
      <c r="AG358" s="342"/>
      <c r="AH358" s="342"/>
      <c r="AI358" s="342"/>
      <c r="AJ358" s="342"/>
      <c r="AK358" s="547"/>
      <c r="AL358" s="183"/>
    </row>
    <row r="359" spans="2:38" x14ac:dyDescent="0.25">
      <c r="B359" s="13" t="s">
        <v>103</v>
      </c>
      <c r="C359" s="13" t="s">
        <v>108</v>
      </c>
      <c r="D359" s="941" t="str">
        <f>'Kalkulace a Porovnání'!D359</f>
        <v>[vyplnit]</v>
      </c>
      <c r="E359" s="942"/>
      <c r="F359" s="942"/>
      <c r="G359" s="942"/>
      <c r="H359" s="943"/>
      <c r="K359" s="13" t="s">
        <v>103</v>
      </c>
      <c r="L359" s="13" t="s">
        <v>108</v>
      </c>
      <c r="M359" s="941" t="str">
        <f>'Kalkulace a Porovnání'!M359</f>
        <v xml:space="preserve"> </v>
      </c>
      <c r="N359" s="942"/>
      <c r="O359" s="942"/>
      <c r="P359" s="942"/>
      <c r="Q359" s="943"/>
      <c r="T359" s="13" t="s">
        <v>103</v>
      </c>
      <c r="U359" s="13" t="s">
        <v>108</v>
      </c>
      <c r="V359" s="949" t="str">
        <f>'Kalkulace a Porovnání'!V359</f>
        <v xml:space="preserve"> </v>
      </c>
      <c r="W359" s="738"/>
      <c r="X359" s="738"/>
      <c r="Y359" s="738"/>
      <c r="Z359" s="738"/>
      <c r="AA359" s="738"/>
      <c r="AB359" s="738"/>
      <c r="AC359" s="183"/>
      <c r="AD359" s="547"/>
      <c r="AG359" s="342"/>
      <c r="AH359" s="342"/>
      <c r="AI359" s="342"/>
      <c r="AJ359" s="342"/>
      <c r="AK359" s="547"/>
      <c r="AL359" s="183"/>
    </row>
    <row r="360" spans="2:38" x14ac:dyDescent="0.25">
      <c r="B360" s="13" t="s">
        <v>104</v>
      </c>
      <c r="C360" s="13" t="s">
        <v>110</v>
      </c>
      <c r="D360" s="941" t="str">
        <f>'Kalkulace a Porovnání'!D360</f>
        <v>[vyplnit]</v>
      </c>
      <c r="E360" s="942"/>
      <c r="F360" s="942"/>
      <c r="G360" s="942"/>
      <c r="H360" s="943"/>
      <c r="K360" s="13" t="s">
        <v>104</v>
      </c>
      <c r="L360" s="13" t="s">
        <v>110</v>
      </c>
      <c r="M360" s="941" t="str">
        <f>'Kalkulace a Porovnání'!M360</f>
        <v xml:space="preserve"> </v>
      </c>
      <c r="N360" s="942"/>
      <c r="O360" s="942"/>
      <c r="P360" s="942"/>
      <c r="Q360" s="943"/>
      <c r="T360" s="13" t="s">
        <v>104</v>
      </c>
      <c r="U360" s="13" t="s">
        <v>110</v>
      </c>
      <c r="V360" s="949" t="str">
        <f>'Kalkulace a Porovnání'!V360</f>
        <v xml:space="preserve"> </v>
      </c>
      <c r="W360" s="738"/>
      <c r="X360" s="738"/>
      <c r="Y360" s="738"/>
      <c r="Z360" s="738"/>
      <c r="AA360" s="738"/>
      <c r="AB360" s="738"/>
      <c r="AC360" s="183"/>
      <c r="AD360" s="547"/>
      <c r="AG360" s="342"/>
      <c r="AH360" s="342"/>
      <c r="AI360" s="342"/>
      <c r="AJ360" s="342"/>
      <c r="AK360" s="547"/>
      <c r="AL360" s="183"/>
    </row>
    <row r="361" spans="2:38" x14ac:dyDescent="0.25">
      <c r="AC361" s="183"/>
      <c r="AD361" s="547"/>
      <c r="AG361" s="342"/>
      <c r="AH361" s="342"/>
      <c r="AI361" s="342"/>
      <c r="AJ361" s="342"/>
      <c r="AK361" s="547"/>
      <c r="AL361" s="183"/>
    </row>
    <row r="362" spans="2:38" x14ac:dyDescent="0.25">
      <c r="B362" s="932" t="s">
        <v>5</v>
      </c>
      <c r="C362" s="721" t="s">
        <v>0</v>
      </c>
      <c r="D362" s="722"/>
      <c r="E362" s="722"/>
      <c r="F362" s="722"/>
      <c r="G362" s="722"/>
      <c r="H362" s="725"/>
      <c r="K362" s="932" t="s">
        <v>5</v>
      </c>
      <c r="L362" s="721" t="s">
        <v>0</v>
      </c>
      <c r="M362" s="722"/>
      <c r="N362" s="722"/>
      <c r="O362" s="722"/>
      <c r="P362" s="722"/>
      <c r="Q362" s="725"/>
      <c r="T362" s="932" t="s">
        <v>5</v>
      </c>
      <c r="U362" s="721" t="s">
        <v>0</v>
      </c>
      <c r="V362" s="722"/>
      <c r="W362" s="722"/>
      <c r="X362" s="722"/>
      <c r="Y362" s="722"/>
      <c r="Z362" s="722"/>
      <c r="AA362" s="722"/>
      <c r="AB362" s="725"/>
      <c r="AC362" s="183"/>
      <c r="AD362" s="547"/>
      <c r="AG362" s="342"/>
      <c r="AH362" s="342"/>
      <c r="AI362" s="342"/>
      <c r="AJ362" s="342"/>
      <c r="AK362" s="547"/>
      <c r="AL362" s="183"/>
    </row>
    <row r="363" spans="2:38" x14ac:dyDescent="0.25">
      <c r="B363" s="930"/>
      <c r="C363" s="932" t="s">
        <v>1</v>
      </c>
      <c r="D363" s="929" t="s">
        <v>173</v>
      </c>
      <c r="E363" s="721" t="s">
        <v>3</v>
      </c>
      <c r="F363" s="722"/>
      <c r="G363" s="721" t="s">
        <v>4</v>
      </c>
      <c r="H363" s="725"/>
      <c r="K363" s="930"/>
      <c r="L363" s="932" t="s">
        <v>1</v>
      </c>
      <c r="M363" s="929" t="s">
        <v>173</v>
      </c>
      <c r="N363" s="721" t="s">
        <v>3</v>
      </c>
      <c r="O363" s="722"/>
      <c r="P363" s="721" t="s">
        <v>4</v>
      </c>
      <c r="Q363" s="725"/>
      <c r="T363" s="930"/>
      <c r="U363" s="932" t="s">
        <v>1</v>
      </c>
      <c r="V363" s="929" t="s">
        <v>173</v>
      </c>
      <c r="W363" s="721" t="s">
        <v>3</v>
      </c>
      <c r="X363" s="722"/>
      <c r="Y363" s="722"/>
      <c r="Z363" s="721" t="s">
        <v>4</v>
      </c>
      <c r="AA363" s="722"/>
      <c r="AB363" s="725"/>
      <c r="AC363" s="183"/>
      <c r="AD363" s="547"/>
      <c r="AG363" s="342"/>
      <c r="AH363" s="342"/>
      <c r="AI363" s="342"/>
      <c r="AJ363" s="342"/>
      <c r="AK363" s="547"/>
      <c r="AL363" s="183"/>
    </row>
    <row r="364" spans="2:38" x14ac:dyDescent="0.25">
      <c r="B364" s="930"/>
      <c r="C364" s="930"/>
      <c r="D364" s="930"/>
      <c r="E364" s="30">
        <f>'Kalkulace a Porovnání'!E364</f>
        <v>2024</v>
      </c>
      <c r="F364" s="30">
        <f>'Kalkulace a Porovnání'!F364</f>
        <v>2025</v>
      </c>
      <c r="G364" s="30">
        <f>'Kalkulace a Porovnání'!G364</f>
        <v>2024</v>
      </c>
      <c r="H364" s="30">
        <f>'Kalkulace a Porovnání'!H364</f>
        <v>2025</v>
      </c>
      <c r="K364" s="930"/>
      <c r="L364" s="930"/>
      <c r="M364" s="930"/>
      <c r="N364" s="30">
        <f>'Kalkulace a Porovnání'!N364</f>
        <v>2024</v>
      </c>
      <c r="O364" s="30">
        <f>'Kalkulace a Porovnání'!O364</f>
        <v>2025</v>
      </c>
      <c r="P364" s="30">
        <f>'Kalkulace a Porovnání'!P364</f>
        <v>2024</v>
      </c>
      <c r="Q364" s="30">
        <f>'Kalkulace a Porovnání'!Q364</f>
        <v>2025</v>
      </c>
      <c r="T364" s="930"/>
      <c r="U364" s="930"/>
      <c r="V364" s="930"/>
      <c r="W364" s="30">
        <f>'Kalkulace a Porovnání'!W364</f>
        <v>2025</v>
      </c>
      <c r="X364" s="30">
        <f>'Kalkulace a Porovnání'!X364</f>
        <v>2025</v>
      </c>
      <c r="Y364" s="30">
        <f>'Kalkulace a Porovnání'!Y364</f>
        <v>2025</v>
      </c>
      <c r="Z364" s="30">
        <f>'Kalkulace a Porovnání'!Z364</f>
        <v>2025</v>
      </c>
      <c r="AA364" s="30">
        <f>'Kalkulace a Porovnání'!AA364</f>
        <v>2025</v>
      </c>
      <c r="AB364" s="30">
        <f>'Kalkulace a Porovnání'!AB364</f>
        <v>2025</v>
      </c>
      <c r="AC364" s="183"/>
      <c r="AD364" s="547"/>
      <c r="AG364" s="342"/>
      <c r="AH364" s="342"/>
      <c r="AI364" s="342"/>
      <c r="AJ364" s="342"/>
      <c r="AK364" s="547"/>
      <c r="AL364" s="183"/>
    </row>
    <row r="365" spans="2:38" x14ac:dyDescent="0.25">
      <c r="B365" s="931"/>
      <c r="C365" s="931"/>
      <c r="D365" s="931"/>
      <c r="E365" s="7" t="s">
        <v>199</v>
      </c>
      <c r="F365" s="7" t="s">
        <v>114</v>
      </c>
      <c r="G365" s="7" t="s">
        <v>199</v>
      </c>
      <c r="H365" s="19" t="s">
        <v>114</v>
      </c>
      <c r="K365" s="931"/>
      <c r="L365" s="931"/>
      <c r="M365" s="931"/>
      <c r="N365" s="7" t="s">
        <v>199</v>
      </c>
      <c r="O365" s="7" t="s">
        <v>114</v>
      </c>
      <c r="P365" s="7" t="s">
        <v>199</v>
      </c>
      <c r="Q365" s="19" t="s">
        <v>114</v>
      </c>
      <c r="T365" s="931"/>
      <c r="U365" s="931"/>
      <c r="V365" s="931"/>
      <c r="W365" s="7" t="s">
        <v>198</v>
      </c>
      <c r="X365" s="7" t="s">
        <v>114</v>
      </c>
      <c r="Y365" s="7" t="s">
        <v>197</v>
      </c>
      <c r="Z365" s="7" t="s">
        <v>198</v>
      </c>
      <c r="AA365" s="7" t="s">
        <v>114</v>
      </c>
      <c r="AB365" s="19" t="s">
        <v>197</v>
      </c>
      <c r="AC365" s="183"/>
      <c r="AD365" s="547"/>
      <c r="AG365" s="342"/>
      <c r="AH365" s="342"/>
      <c r="AI365" s="342"/>
      <c r="AJ365" s="342"/>
      <c r="AK365" s="547"/>
      <c r="AL365" s="183"/>
    </row>
    <row r="366" spans="2:38" x14ac:dyDescent="0.25">
      <c r="B366" s="11">
        <v>1</v>
      </c>
      <c r="C366" s="11">
        <v>2</v>
      </c>
      <c r="D366" s="11" t="s">
        <v>111</v>
      </c>
      <c r="E366" s="11">
        <v>3</v>
      </c>
      <c r="F366" s="11">
        <v>4</v>
      </c>
      <c r="G366" s="11">
        <v>6</v>
      </c>
      <c r="H366" s="22">
        <v>7</v>
      </c>
      <c r="K366" s="11">
        <v>1</v>
      </c>
      <c r="L366" s="11">
        <v>2</v>
      </c>
      <c r="M366" s="11" t="s">
        <v>111</v>
      </c>
      <c r="N366" s="11">
        <v>3</v>
      </c>
      <c r="O366" s="11">
        <v>4</v>
      </c>
      <c r="P366" s="11">
        <v>6</v>
      </c>
      <c r="Q366" s="22">
        <v>7</v>
      </c>
      <c r="T366" s="11">
        <v>1</v>
      </c>
      <c r="U366" s="11">
        <v>2</v>
      </c>
      <c r="V366" s="11" t="s">
        <v>111</v>
      </c>
      <c r="W366" s="11">
        <v>3</v>
      </c>
      <c r="X366" s="11">
        <v>4</v>
      </c>
      <c r="Y366" s="11">
        <v>5</v>
      </c>
      <c r="Z366" s="11">
        <v>6</v>
      </c>
      <c r="AA366" s="11">
        <v>7</v>
      </c>
      <c r="AB366" s="22">
        <v>8</v>
      </c>
      <c r="AC366" s="183"/>
      <c r="AD366" s="547"/>
      <c r="AG366" s="342"/>
      <c r="AH366" s="342"/>
      <c r="AI366" s="342"/>
      <c r="AJ366" s="342"/>
      <c r="AK366" s="547"/>
      <c r="AL366" s="183"/>
    </row>
    <row r="367" spans="2:38" x14ac:dyDescent="0.25">
      <c r="B367" s="9" t="s">
        <v>8</v>
      </c>
      <c r="C367" s="10" t="s">
        <v>9</v>
      </c>
      <c r="D367" s="11" t="s">
        <v>10</v>
      </c>
      <c r="E367" s="46">
        <f>'Kalkulace a Porovnání'!E367</f>
        <v>0</v>
      </c>
      <c r="F367" s="46">
        <f>'Kalkulace a Porovnání'!F367</f>
        <v>0</v>
      </c>
      <c r="G367" s="46">
        <f>'Kalkulace a Porovnání'!G367</f>
        <v>0</v>
      </c>
      <c r="H367" s="98">
        <f>'Kalkulace a Porovnání'!H367</f>
        <v>0</v>
      </c>
      <c r="K367" s="9" t="s">
        <v>8</v>
      </c>
      <c r="L367" s="10" t="s">
        <v>9</v>
      </c>
      <c r="M367" s="11" t="s">
        <v>10</v>
      </c>
      <c r="N367" s="46">
        <f>'Kalkulace a Porovnání'!N367</f>
        <v>0</v>
      </c>
      <c r="O367" s="46">
        <f>'Kalkulace a Porovnání'!O367</f>
        <v>0</v>
      </c>
      <c r="P367" s="46">
        <f>'Kalkulace a Porovnání'!P367</f>
        <v>0</v>
      </c>
      <c r="Q367" s="98">
        <f>'Kalkulace a Porovnání'!Q367</f>
        <v>0</v>
      </c>
      <c r="T367" s="9" t="s">
        <v>8</v>
      </c>
      <c r="U367" s="10" t="s">
        <v>9</v>
      </c>
      <c r="V367" s="11" t="s">
        <v>10</v>
      </c>
      <c r="W367" s="46">
        <f>'Kalkulace a Porovnání'!W367</f>
        <v>0</v>
      </c>
      <c r="X367" s="46">
        <f>'Kalkulace a Porovnání'!X367</f>
        <v>0</v>
      </c>
      <c r="Y367" s="46">
        <f>'Kalkulace a Porovnání'!Y367</f>
        <v>0</v>
      </c>
      <c r="Z367" s="46">
        <f>'Kalkulace a Porovnání'!Z367</f>
        <v>0</v>
      </c>
      <c r="AA367" s="46">
        <f>'Kalkulace a Porovnání'!AA367</f>
        <v>0</v>
      </c>
      <c r="AB367" s="98">
        <f>'Kalkulace a Porovnání'!AB367</f>
        <v>0</v>
      </c>
      <c r="AC367" s="183"/>
      <c r="AD367" s="547"/>
      <c r="AG367" s="342"/>
      <c r="AH367" s="342"/>
      <c r="AI367" s="342"/>
      <c r="AJ367" s="342"/>
      <c r="AK367" s="547"/>
      <c r="AL367" s="183"/>
    </row>
    <row r="368" spans="2:38" x14ac:dyDescent="0.25">
      <c r="B368" s="12" t="s">
        <v>11</v>
      </c>
      <c r="C368" s="13" t="s">
        <v>12</v>
      </c>
      <c r="D368" s="3" t="s">
        <v>10</v>
      </c>
      <c r="E368" s="49">
        <f>'Kalkulace a Porovnání'!E368</f>
        <v>0</v>
      </c>
      <c r="F368" s="49">
        <f>'Kalkulace a Porovnání'!F368</f>
        <v>0</v>
      </c>
      <c r="G368" s="49">
        <f>'Kalkulace a Porovnání'!G368</f>
        <v>0</v>
      </c>
      <c r="H368" s="32">
        <f>'Kalkulace a Porovnání'!H368</f>
        <v>0</v>
      </c>
      <c r="K368" s="12" t="s">
        <v>11</v>
      </c>
      <c r="L368" s="13" t="s">
        <v>12</v>
      </c>
      <c r="M368" s="3" t="s">
        <v>10</v>
      </c>
      <c r="N368" s="49">
        <f>'Kalkulace a Porovnání'!N368</f>
        <v>0</v>
      </c>
      <c r="O368" s="49">
        <f>'Kalkulace a Porovnání'!O368</f>
        <v>0</v>
      </c>
      <c r="P368" s="49">
        <f>'Kalkulace a Porovnání'!P368</f>
        <v>0</v>
      </c>
      <c r="Q368" s="32">
        <f>'Kalkulace a Porovnání'!Q368</f>
        <v>0</v>
      </c>
      <c r="T368" s="12" t="s">
        <v>11</v>
      </c>
      <c r="U368" s="13" t="s">
        <v>12</v>
      </c>
      <c r="V368" s="3" t="s">
        <v>10</v>
      </c>
      <c r="W368" s="49">
        <f>'Kalkulace a Porovnání'!W368</f>
        <v>0</v>
      </c>
      <c r="X368" s="49">
        <f>'Kalkulace a Porovnání'!X368</f>
        <v>0</v>
      </c>
      <c r="Y368" s="49">
        <f>'Kalkulace a Porovnání'!Y368</f>
        <v>0</v>
      </c>
      <c r="Z368" s="49">
        <f>'Kalkulace a Porovnání'!Z368</f>
        <v>0</v>
      </c>
      <c r="AA368" s="49">
        <f>'Kalkulace a Porovnání'!AA368</f>
        <v>0</v>
      </c>
      <c r="AB368" s="32">
        <f>'Kalkulace a Porovnání'!AB368</f>
        <v>0</v>
      </c>
      <c r="AC368" s="183"/>
      <c r="AD368" s="547"/>
      <c r="AG368" s="342"/>
      <c r="AH368" s="342"/>
      <c r="AI368" s="342"/>
      <c r="AJ368" s="342"/>
      <c r="AK368" s="547"/>
      <c r="AL368" s="183"/>
    </row>
    <row r="369" spans="2:38" x14ac:dyDescent="0.25">
      <c r="B369" s="12" t="s">
        <v>13</v>
      </c>
      <c r="C369" s="12" t="s">
        <v>14</v>
      </c>
      <c r="D369" s="3" t="s">
        <v>10</v>
      </c>
      <c r="E369" s="49">
        <f>'Kalkulace a Porovnání'!E369</f>
        <v>0</v>
      </c>
      <c r="F369" s="49">
        <f>'Kalkulace a Porovnání'!F369</f>
        <v>0</v>
      </c>
      <c r="G369" s="49">
        <f>'Kalkulace a Porovnání'!G369</f>
        <v>0</v>
      </c>
      <c r="H369" s="32">
        <f>'Kalkulace a Porovnání'!H369</f>
        <v>0</v>
      </c>
      <c r="K369" s="12" t="s">
        <v>13</v>
      </c>
      <c r="L369" s="12" t="s">
        <v>14</v>
      </c>
      <c r="M369" s="3" t="s">
        <v>10</v>
      </c>
      <c r="N369" s="49">
        <f>'Kalkulace a Porovnání'!N369</f>
        <v>0</v>
      </c>
      <c r="O369" s="49">
        <f>'Kalkulace a Porovnání'!O369</f>
        <v>0</v>
      </c>
      <c r="P369" s="49">
        <f>'Kalkulace a Porovnání'!P369</f>
        <v>0</v>
      </c>
      <c r="Q369" s="32">
        <f>'Kalkulace a Porovnání'!Q369</f>
        <v>0</v>
      </c>
      <c r="T369" s="12" t="s">
        <v>13</v>
      </c>
      <c r="U369" s="12" t="s">
        <v>14</v>
      </c>
      <c r="V369" s="3" t="s">
        <v>10</v>
      </c>
      <c r="W369" s="49">
        <f>'Kalkulace a Porovnání'!W369</f>
        <v>0</v>
      </c>
      <c r="X369" s="49">
        <f>'Kalkulace a Porovnání'!X369</f>
        <v>0</v>
      </c>
      <c r="Y369" s="49">
        <f>'Kalkulace a Porovnání'!Y369</f>
        <v>0</v>
      </c>
      <c r="Z369" s="49">
        <f>'Kalkulace a Porovnání'!Z369</f>
        <v>0</v>
      </c>
      <c r="AA369" s="49">
        <f>'Kalkulace a Porovnání'!AA369</f>
        <v>0</v>
      </c>
      <c r="AB369" s="32">
        <f>'Kalkulace a Porovnání'!AB369</f>
        <v>0</v>
      </c>
      <c r="AC369" s="183"/>
      <c r="AD369" s="547"/>
      <c r="AG369" s="342"/>
      <c r="AH369" s="342"/>
      <c r="AI369" s="342"/>
      <c r="AJ369" s="342"/>
      <c r="AK369" s="547"/>
      <c r="AL369" s="183"/>
    </row>
    <row r="370" spans="2:38" x14ac:dyDescent="0.25">
      <c r="B370" s="12" t="s">
        <v>15</v>
      </c>
      <c r="C370" s="13" t="s">
        <v>16</v>
      </c>
      <c r="D370" s="3" t="s">
        <v>10</v>
      </c>
      <c r="E370" s="49">
        <f>'Kalkulace a Porovnání'!E370</f>
        <v>0</v>
      </c>
      <c r="F370" s="49">
        <f>'Kalkulace a Porovnání'!F370</f>
        <v>0</v>
      </c>
      <c r="G370" s="49">
        <f>'Kalkulace a Porovnání'!G370</f>
        <v>0</v>
      </c>
      <c r="H370" s="32">
        <f>'Kalkulace a Porovnání'!H370</f>
        <v>0</v>
      </c>
      <c r="K370" s="12" t="s">
        <v>15</v>
      </c>
      <c r="L370" s="13" t="s">
        <v>16</v>
      </c>
      <c r="M370" s="3" t="s">
        <v>10</v>
      </c>
      <c r="N370" s="49">
        <f>'Kalkulace a Porovnání'!N370</f>
        <v>0</v>
      </c>
      <c r="O370" s="49">
        <f>'Kalkulace a Porovnání'!O370</f>
        <v>0</v>
      </c>
      <c r="P370" s="49">
        <f>'Kalkulace a Porovnání'!P370</f>
        <v>0</v>
      </c>
      <c r="Q370" s="32">
        <f>'Kalkulace a Porovnání'!Q370</f>
        <v>0</v>
      </c>
      <c r="T370" s="12" t="s">
        <v>15</v>
      </c>
      <c r="U370" s="13" t="s">
        <v>16</v>
      </c>
      <c r="V370" s="3" t="s">
        <v>10</v>
      </c>
      <c r="W370" s="49">
        <f>'Kalkulace a Porovnání'!W370</f>
        <v>0</v>
      </c>
      <c r="X370" s="49">
        <f>'Kalkulace a Porovnání'!X370</f>
        <v>0</v>
      </c>
      <c r="Y370" s="49">
        <f>'Kalkulace a Porovnání'!Y370</f>
        <v>0</v>
      </c>
      <c r="Z370" s="49">
        <f>'Kalkulace a Porovnání'!Z370</f>
        <v>0</v>
      </c>
      <c r="AA370" s="49">
        <f>'Kalkulace a Porovnání'!AA370</f>
        <v>0</v>
      </c>
      <c r="AB370" s="32">
        <f>'Kalkulace a Porovnání'!AB370</f>
        <v>0</v>
      </c>
      <c r="AC370" s="183"/>
      <c r="AD370" s="547"/>
      <c r="AG370" s="342"/>
      <c r="AH370" s="342"/>
      <c r="AI370" s="342"/>
      <c r="AJ370" s="342"/>
      <c r="AK370" s="547"/>
      <c r="AL370" s="183"/>
    </row>
    <row r="371" spans="2:38" x14ac:dyDescent="0.25">
      <c r="B371" s="12" t="s">
        <v>17</v>
      </c>
      <c r="C371" s="13" t="s">
        <v>18</v>
      </c>
      <c r="D371" s="3" t="s">
        <v>10</v>
      </c>
      <c r="E371" s="49">
        <f>'Kalkulace a Porovnání'!E371</f>
        <v>0</v>
      </c>
      <c r="F371" s="49">
        <f>'Kalkulace a Porovnání'!F371</f>
        <v>0</v>
      </c>
      <c r="G371" s="49">
        <f>'Kalkulace a Porovnání'!G371</f>
        <v>0</v>
      </c>
      <c r="H371" s="32">
        <f>'Kalkulace a Porovnání'!H371</f>
        <v>0</v>
      </c>
      <c r="K371" s="12" t="s">
        <v>17</v>
      </c>
      <c r="L371" s="13" t="s">
        <v>18</v>
      </c>
      <c r="M371" s="3" t="s">
        <v>10</v>
      </c>
      <c r="N371" s="49">
        <f>'Kalkulace a Porovnání'!N371</f>
        <v>0</v>
      </c>
      <c r="O371" s="49">
        <f>'Kalkulace a Porovnání'!O371</f>
        <v>0</v>
      </c>
      <c r="P371" s="49">
        <f>'Kalkulace a Porovnání'!P371</f>
        <v>0</v>
      </c>
      <c r="Q371" s="32">
        <f>'Kalkulace a Porovnání'!Q371</f>
        <v>0</v>
      </c>
      <c r="T371" s="12" t="s">
        <v>17</v>
      </c>
      <c r="U371" s="13" t="s">
        <v>18</v>
      </c>
      <c r="V371" s="3" t="s">
        <v>10</v>
      </c>
      <c r="W371" s="49">
        <f>'Kalkulace a Porovnání'!W371</f>
        <v>0</v>
      </c>
      <c r="X371" s="49">
        <f>'Kalkulace a Porovnání'!X371</f>
        <v>0</v>
      </c>
      <c r="Y371" s="49">
        <f>'Kalkulace a Porovnání'!Y371</f>
        <v>0</v>
      </c>
      <c r="Z371" s="49">
        <f>'Kalkulace a Porovnání'!Z371</f>
        <v>0</v>
      </c>
      <c r="AA371" s="49">
        <f>'Kalkulace a Porovnání'!AA371</f>
        <v>0</v>
      </c>
      <c r="AB371" s="32">
        <f>'Kalkulace a Porovnání'!AB371</f>
        <v>0</v>
      </c>
      <c r="AC371" s="183"/>
      <c r="AD371" s="547"/>
      <c r="AG371" s="342"/>
      <c r="AH371" s="342"/>
      <c r="AI371" s="342"/>
      <c r="AJ371" s="342"/>
      <c r="AK371" s="547"/>
      <c r="AL371" s="183"/>
    </row>
    <row r="372" spans="2:38" x14ac:dyDescent="0.25">
      <c r="B372" s="9" t="s">
        <v>19</v>
      </c>
      <c r="C372" s="10" t="s">
        <v>20</v>
      </c>
      <c r="D372" s="11" t="s">
        <v>10</v>
      </c>
      <c r="E372" s="46">
        <f>'Kalkulace a Porovnání'!E372</f>
        <v>0</v>
      </c>
      <c r="F372" s="46">
        <f>'Kalkulace a Porovnání'!F372</f>
        <v>0</v>
      </c>
      <c r="G372" s="46">
        <f>'Kalkulace a Porovnání'!G372</f>
        <v>0</v>
      </c>
      <c r="H372" s="98">
        <f>'Kalkulace a Porovnání'!H372</f>
        <v>0</v>
      </c>
      <c r="K372" s="9" t="s">
        <v>19</v>
      </c>
      <c r="L372" s="10" t="s">
        <v>20</v>
      </c>
      <c r="M372" s="11" t="s">
        <v>10</v>
      </c>
      <c r="N372" s="46">
        <f>'Kalkulace a Porovnání'!N372</f>
        <v>0</v>
      </c>
      <c r="O372" s="46">
        <f>'Kalkulace a Porovnání'!O372</f>
        <v>0</v>
      </c>
      <c r="P372" s="46">
        <f>'Kalkulace a Porovnání'!P372</f>
        <v>0</v>
      </c>
      <c r="Q372" s="98">
        <f>'Kalkulace a Porovnání'!Q372</f>
        <v>0</v>
      </c>
      <c r="T372" s="9" t="s">
        <v>19</v>
      </c>
      <c r="U372" s="10" t="s">
        <v>20</v>
      </c>
      <c r="V372" s="11" t="s">
        <v>10</v>
      </c>
      <c r="W372" s="46">
        <f>'Kalkulace a Porovnání'!W372</f>
        <v>0</v>
      </c>
      <c r="X372" s="46">
        <f>'Kalkulace a Porovnání'!X372</f>
        <v>0</v>
      </c>
      <c r="Y372" s="46">
        <f>'Kalkulace a Porovnání'!Y372</f>
        <v>0</v>
      </c>
      <c r="Z372" s="46">
        <f>'Kalkulace a Porovnání'!Z372</f>
        <v>0</v>
      </c>
      <c r="AA372" s="46">
        <f>'Kalkulace a Porovnání'!AA372</f>
        <v>0</v>
      </c>
      <c r="AB372" s="98">
        <f>'Kalkulace a Porovnání'!AB372</f>
        <v>0</v>
      </c>
      <c r="AC372" s="183"/>
      <c r="AD372" s="547"/>
      <c r="AG372" s="342"/>
      <c r="AH372" s="342"/>
      <c r="AI372" s="342"/>
      <c r="AJ372" s="342"/>
      <c r="AK372" s="547"/>
      <c r="AL372" s="183"/>
    </row>
    <row r="373" spans="2:38" x14ac:dyDescent="0.25">
      <c r="B373" s="12" t="s">
        <v>21</v>
      </c>
      <c r="C373" s="12" t="s">
        <v>22</v>
      </c>
      <c r="D373" s="3" t="s">
        <v>10</v>
      </c>
      <c r="E373" s="49">
        <f>'Kalkulace a Porovnání'!E373</f>
        <v>0</v>
      </c>
      <c r="F373" s="49">
        <f>'Kalkulace a Porovnání'!F373</f>
        <v>0</v>
      </c>
      <c r="G373" s="49">
        <f>'Kalkulace a Porovnání'!G373</f>
        <v>0</v>
      </c>
      <c r="H373" s="32">
        <f>'Kalkulace a Porovnání'!H373</f>
        <v>0</v>
      </c>
      <c r="K373" s="12" t="s">
        <v>21</v>
      </c>
      <c r="L373" s="12" t="s">
        <v>22</v>
      </c>
      <c r="M373" s="3" t="s">
        <v>10</v>
      </c>
      <c r="N373" s="49">
        <f>'Kalkulace a Porovnání'!N373</f>
        <v>0</v>
      </c>
      <c r="O373" s="49">
        <f>'Kalkulace a Porovnání'!O373</f>
        <v>0</v>
      </c>
      <c r="P373" s="49">
        <f>'Kalkulace a Porovnání'!P373</f>
        <v>0</v>
      </c>
      <c r="Q373" s="32">
        <f>'Kalkulace a Porovnání'!Q373</f>
        <v>0</v>
      </c>
      <c r="T373" s="12" t="s">
        <v>21</v>
      </c>
      <c r="U373" s="12" t="s">
        <v>22</v>
      </c>
      <c r="V373" s="3" t="s">
        <v>10</v>
      </c>
      <c r="W373" s="49">
        <f>'Kalkulace a Porovnání'!W373</f>
        <v>0</v>
      </c>
      <c r="X373" s="49">
        <f>'Kalkulace a Porovnání'!X373</f>
        <v>0</v>
      </c>
      <c r="Y373" s="49">
        <f>'Kalkulace a Porovnání'!Y373</f>
        <v>0</v>
      </c>
      <c r="Z373" s="49">
        <f>'Kalkulace a Porovnání'!Z373</f>
        <v>0</v>
      </c>
      <c r="AA373" s="49">
        <f>'Kalkulace a Porovnání'!AA373</f>
        <v>0</v>
      </c>
      <c r="AB373" s="32">
        <f>'Kalkulace a Porovnání'!AB373</f>
        <v>0</v>
      </c>
      <c r="AC373" s="183"/>
      <c r="AD373" s="547"/>
      <c r="AG373" s="342"/>
      <c r="AH373" s="342"/>
      <c r="AI373" s="342"/>
      <c r="AJ373" s="342"/>
      <c r="AK373" s="547"/>
      <c r="AL373" s="183"/>
    </row>
    <row r="374" spans="2:38" x14ac:dyDescent="0.25">
      <c r="B374" s="12" t="s">
        <v>23</v>
      </c>
      <c r="C374" s="12" t="s">
        <v>24</v>
      </c>
      <c r="D374" s="3" t="s">
        <v>10</v>
      </c>
      <c r="E374" s="49">
        <f>'Kalkulace a Porovnání'!E374</f>
        <v>0</v>
      </c>
      <c r="F374" s="49">
        <f>'Kalkulace a Porovnání'!F374</f>
        <v>0</v>
      </c>
      <c r="G374" s="49">
        <f>'Kalkulace a Porovnání'!G374</f>
        <v>0</v>
      </c>
      <c r="H374" s="32">
        <f>'Kalkulace a Porovnání'!H374</f>
        <v>0</v>
      </c>
      <c r="K374" s="12" t="s">
        <v>23</v>
      </c>
      <c r="L374" s="12" t="s">
        <v>24</v>
      </c>
      <c r="M374" s="3" t="s">
        <v>10</v>
      </c>
      <c r="N374" s="49">
        <f>'Kalkulace a Porovnání'!N374</f>
        <v>0</v>
      </c>
      <c r="O374" s="49">
        <f>'Kalkulace a Porovnání'!O374</f>
        <v>0</v>
      </c>
      <c r="P374" s="49">
        <f>'Kalkulace a Porovnání'!P374</f>
        <v>0</v>
      </c>
      <c r="Q374" s="32">
        <f>'Kalkulace a Porovnání'!Q374</f>
        <v>0</v>
      </c>
      <c r="T374" s="12" t="s">
        <v>23</v>
      </c>
      <c r="U374" s="12" t="s">
        <v>24</v>
      </c>
      <c r="V374" s="3" t="s">
        <v>10</v>
      </c>
      <c r="W374" s="49">
        <f>'Kalkulace a Porovnání'!W374</f>
        <v>0</v>
      </c>
      <c r="X374" s="49">
        <f>'Kalkulace a Porovnání'!X374</f>
        <v>0</v>
      </c>
      <c r="Y374" s="49">
        <f>'Kalkulace a Porovnání'!Y374</f>
        <v>0</v>
      </c>
      <c r="Z374" s="49">
        <f>'Kalkulace a Porovnání'!Z374</f>
        <v>0</v>
      </c>
      <c r="AA374" s="49">
        <f>'Kalkulace a Porovnání'!AA374</f>
        <v>0</v>
      </c>
      <c r="AB374" s="32">
        <f>'Kalkulace a Porovnání'!AB374</f>
        <v>0</v>
      </c>
      <c r="AC374" s="183"/>
      <c r="AD374" s="547"/>
      <c r="AG374" s="342"/>
      <c r="AH374" s="342"/>
      <c r="AI374" s="342"/>
      <c r="AJ374" s="342"/>
      <c r="AK374" s="547"/>
      <c r="AL374" s="183"/>
    </row>
    <row r="375" spans="2:38" x14ac:dyDescent="0.25">
      <c r="B375" s="9" t="s">
        <v>25</v>
      </c>
      <c r="C375" s="10" t="s">
        <v>26</v>
      </c>
      <c r="D375" s="11" t="s">
        <v>10</v>
      </c>
      <c r="E375" s="46">
        <f>'Kalkulace a Porovnání'!E375</f>
        <v>0</v>
      </c>
      <c r="F375" s="46">
        <f>'Kalkulace a Porovnání'!F375</f>
        <v>0</v>
      </c>
      <c r="G375" s="46">
        <f>'Kalkulace a Porovnání'!G375</f>
        <v>0</v>
      </c>
      <c r="H375" s="98">
        <f>'Kalkulace a Porovnání'!H375</f>
        <v>0</v>
      </c>
      <c r="K375" s="9" t="s">
        <v>25</v>
      </c>
      <c r="L375" s="10" t="s">
        <v>26</v>
      </c>
      <c r="M375" s="11" t="s">
        <v>10</v>
      </c>
      <c r="N375" s="46">
        <f>'Kalkulace a Porovnání'!N375</f>
        <v>0</v>
      </c>
      <c r="O375" s="46">
        <f>'Kalkulace a Porovnání'!O375</f>
        <v>0</v>
      </c>
      <c r="P375" s="46">
        <f>'Kalkulace a Porovnání'!P375</f>
        <v>0</v>
      </c>
      <c r="Q375" s="98">
        <f>'Kalkulace a Porovnání'!Q375</f>
        <v>0</v>
      </c>
      <c r="T375" s="9" t="s">
        <v>25</v>
      </c>
      <c r="U375" s="10" t="s">
        <v>26</v>
      </c>
      <c r="V375" s="11" t="s">
        <v>10</v>
      </c>
      <c r="W375" s="46">
        <f>'Kalkulace a Porovnání'!W375</f>
        <v>0</v>
      </c>
      <c r="X375" s="46">
        <f>'Kalkulace a Porovnání'!X375</f>
        <v>0</v>
      </c>
      <c r="Y375" s="46">
        <f>'Kalkulace a Porovnání'!Y375</f>
        <v>0</v>
      </c>
      <c r="Z375" s="46">
        <f>'Kalkulace a Porovnání'!Z375</f>
        <v>0</v>
      </c>
      <c r="AA375" s="46">
        <f>'Kalkulace a Porovnání'!AA375</f>
        <v>0</v>
      </c>
      <c r="AB375" s="98">
        <f>'Kalkulace a Porovnání'!AB375</f>
        <v>0</v>
      </c>
      <c r="AC375" s="183"/>
      <c r="AD375" s="547"/>
      <c r="AG375" s="342"/>
      <c r="AH375" s="342"/>
      <c r="AI375" s="342"/>
      <c r="AJ375" s="342"/>
      <c r="AK375" s="547"/>
      <c r="AL375" s="183"/>
    </row>
    <row r="376" spans="2:38" x14ac:dyDescent="0.25">
      <c r="B376" s="12" t="s">
        <v>27</v>
      </c>
      <c r="C376" s="13" t="s">
        <v>28</v>
      </c>
      <c r="D376" s="3" t="s">
        <v>10</v>
      </c>
      <c r="E376" s="49">
        <f>'Kalkulace a Porovnání'!E376</f>
        <v>0</v>
      </c>
      <c r="F376" s="49">
        <f>'Kalkulace a Porovnání'!F376</f>
        <v>0</v>
      </c>
      <c r="G376" s="49">
        <f>'Kalkulace a Porovnání'!G376</f>
        <v>0</v>
      </c>
      <c r="H376" s="32">
        <f>'Kalkulace a Porovnání'!H376</f>
        <v>0</v>
      </c>
      <c r="K376" s="12" t="s">
        <v>27</v>
      </c>
      <c r="L376" s="13" t="s">
        <v>28</v>
      </c>
      <c r="M376" s="3" t="s">
        <v>10</v>
      </c>
      <c r="N376" s="49">
        <f>'Kalkulace a Porovnání'!N376</f>
        <v>0</v>
      </c>
      <c r="O376" s="49">
        <f>'Kalkulace a Porovnání'!O376</f>
        <v>0</v>
      </c>
      <c r="P376" s="49">
        <f>'Kalkulace a Porovnání'!P376</f>
        <v>0</v>
      </c>
      <c r="Q376" s="32">
        <f>'Kalkulace a Porovnání'!Q376</f>
        <v>0</v>
      </c>
      <c r="T376" s="12" t="s">
        <v>27</v>
      </c>
      <c r="U376" s="13" t="s">
        <v>28</v>
      </c>
      <c r="V376" s="3" t="s">
        <v>10</v>
      </c>
      <c r="W376" s="49">
        <f>'Kalkulace a Porovnání'!W376</f>
        <v>0</v>
      </c>
      <c r="X376" s="49">
        <f>'Kalkulace a Porovnání'!X376</f>
        <v>0</v>
      </c>
      <c r="Y376" s="49">
        <f>'Kalkulace a Porovnání'!Y376</f>
        <v>0</v>
      </c>
      <c r="Z376" s="49">
        <f>'Kalkulace a Porovnání'!Z376</f>
        <v>0</v>
      </c>
      <c r="AA376" s="49">
        <f>'Kalkulace a Porovnání'!AA376</f>
        <v>0</v>
      </c>
      <c r="AB376" s="32">
        <f>'Kalkulace a Porovnání'!AB376</f>
        <v>0</v>
      </c>
      <c r="AC376" s="183"/>
      <c r="AD376" s="547"/>
      <c r="AG376" s="342"/>
      <c r="AH376" s="342"/>
      <c r="AI376" s="342"/>
      <c r="AJ376" s="342"/>
      <c r="AK376" s="547"/>
      <c r="AL376" s="183"/>
    </row>
    <row r="377" spans="2:38" x14ac:dyDescent="0.25">
      <c r="B377" s="12" t="s">
        <v>29</v>
      </c>
      <c r="C377" s="13" t="s">
        <v>30</v>
      </c>
      <c r="D377" s="3" t="s">
        <v>10</v>
      </c>
      <c r="E377" s="49">
        <f>'Kalkulace a Porovnání'!E377</f>
        <v>0</v>
      </c>
      <c r="F377" s="49">
        <f>'Kalkulace a Porovnání'!F377</f>
        <v>0</v>
      </c>
      <c r="G377" s="49">
        <f>'Kalkulace a Porovnání'!G377</f>
        <v>0</v>
      </c>
      <c r="H377" s="32">
        <f>'Kalkulace a Porovnání'!H377</f>
        <v>0</v>
      </c>
      <c r="K377" s="12" t="s">
        <v>29</v>
      </c>
      <c r="L377" s="13" t="s">
        <v>30</v>
      </c>
      <c r="M377" s="3" t="s">
        <v>10</v>
      </c>
      <c r="N377" s="49">
        <f>'Kalkulace a Porovnání'!N377</f>
        <v>0</v>
      </c>
      <c r="O377" s="49">
        <f>'Kalkulace a Porovnání'!O377</f>
        <v>0</v>
      </c>
      <c r="P377" s="49">
        <f>'Kalkulace a Porovnání'!P377</f>
        <v>0</v>
      </c>
      <c r="Q377" s="32">
        <f>'Kalkulace a Porovnání'!Q377</f>
        <v>0</v>
      </c>
      <c r="T377" s="12" t="s">
        <v>29</v>
      </c>
      <c r="U377" s="13" t="s">
        <v>30</v>
      </c>
      <c r="V377" s="3" t="s">
        <v>10</v>
      </c>
      <c r="W377" s="49">
        <f>'Kalkulace a Porovnání'!W377</f>
        <v>0</v>
      </c>
      <c r="X377" s="49">
        <f>'Kalkulace a Porovnání'!X377</f>
        <v>0</v>
      </c>
      <c r="Y377" s="49">
        <f>'Kalkulace a Porovnání'!Y377</f>
        <v>0</v>
      </c>
      <c r="Z377" s="49">
        <f>'Kalkulace a Porovnání'!Z377</f>
        <v>0</v>
      </c>
      <c r="AA377" s="49">
        <f>'Kalkulace a Porovnání'!AA377</f>
        <v>0</v>
      </c>
      <c r="AB377" s="32">
        <f>'Kalkulace a Porovnání'!AB377</f>
        <v>0</v>
      </c>
      <c r="AC377" s="183"/>
      <c r="AD377" s="547"/>
      <c r="AG377" s="342"/>
      <c r="AH377" s="342"/>
      <c r="AI377" s="342"/>
      <c r="AJ377" s="342"/>
      <c r="AK377" s="547"/>
      <c r="AL377" s="183"/>
    </row>
    <row r="378" spans="2:38" x14ac:dyDescent="0.25">
      <c r="B378" s="9" t="s">
        <v>31</v>
      </c>
      <c r="C378" s="10" t="s">
        <v>32</v>
      </c>
      <c r="D378" s="11" t="s">
        <v>10</v>
      </c>
      <c r="E378" s="46">
        <f>'Kalkulace a Porovnání'!E378</f>
        <v>0</v>
      </c>
      <c r="F378" s="46">
        <f>'Kalkulace a Porovnání'!F378</f>
        <v>0</v>
      </c>
      <c r="G378" s="46">
        <f>'Kalkulace a Porovnání'!G378</f>
        <v>0</v>
      </c>
      <c r="H378" s="98">
        <f>'Kalkulace a Porovnání'!H378</f>
        <v>0</v>
      </c>
      <c r="K378" s="9" t="s">
        <v>31</v>
      </c>
      <c r="L378" s="10" t="s">
        <v>32</v>
      </c>
      <c r="M378" s="11" t="s">
        <v>10</v>
      </c>
      <c r="N378" s="46">
        <f>'Kalkulace a Porovnání'!N378</f>
        <v>0</v>
      </c>
      <c r="O378" s="46">
        <f>'Kalkulace a Porovnání'!O378</f>
        <v>0</v>
      </c>
      <c r="P378" s="46">
        <f>'Kalkulace a Porovnání'!P378</f>
        <v>0</v>
      </c>
      <c r="Q378" s="98">
        <f>'Kalkulace a Porovnání'!Q378</f>
        <v>0</v>
      </c>
      <c r="T378" s="9" t="s">
        <v>31</v>
      </c>
      <c r="U378" s="10" t="s">
        <v>32</v>
      </c>
      <c r="V378" s="11" t="s">
        <v>10</v>
      </c>
      <c r="W378" s="46">
        <f>'Kalkulace a Porovnání'!W378</f>
        <v>0</v>
      </c>
      <c r="X378" s="46">
        <f>'Kalkulace a Porovnání'!X378</f>
        <v>0</v>
      </c>
      <c r="Y378" s="46">
        <f>'Kalkulace a Porovnání'!Y378</f>
        <v>0</v>
      </c>
      <c r="Z378" s="46">
        <f>'Kalkulace a Porovnání'!Z378</f>
        <v>0</v>
      </c>
      <c r="AA378" s="46">
        <f>'Kalkulace a Porovnání'!AA378</f>
        <v>0</v>
      </c>
      <c r="AB378" s="98">
        <f>'Kalkulace a Porovnání'!AB378</f>
        <v>0</v>
      </c>
      <c r="AC378" s="183"/>
      <c r="AD378" s="547"/>
      <c r="AG378" s="342"/>
      <c r="AH378" s="342"/>
      <c r="AI378" s="342"/>
      <c r="AJ378" s="342"/>
      <c r="AK378" s="547"/>
      <c r="AL378" s="183"/>
    </row>
    <row r="379" spans="2:38" x14ac:dyDescent="0.25">
      <c r="B379" s="12" t="s">
        <v>33</v>
      </c>
      <c r="C379" s="21" t="s">
        <v>34</v>
      </c>
      <c r="D379" s="3" t="s">
        <v>10</v>
      </c>
      <c r="E379" s="49">
        <f>'Kalkulace a Porovnání'!E379</f>
        <v>0</v>
      </c>
      <c r="F379" s="49">
        <f>'Kalkulace a Porovnání'!F379</f>
        <v>0</v>
      </c>
      <c r="G379" s="49">
        <f>'Kalkulace a Porovnání'!G379</f>
        <v>0</v>
      </c>
      <c r="H379" s="32">
        <f>'Kalkulace a Porovnání'!H379</f>
        <v>0</v>
      </c>
      <c r="K379" s="12" t="s">
        <v>33</v>
      </c>
      <c r="L379" s="21" t="s">
        <v>34</v>
      </c>
      <c r="M379" s="3" t="s">
        <v>10</v>
      </c>
      <c r="N379" s="49">
        <f>'Kalkulace a Porovnání'!N379</f>
        <v>0</v>
      </c>
      <c r="O379" s="49">
        <f>'Kalkulace a Porovnání'!O379</f>
        <v>0</v>
      </c>
      <c r="P379" s="49">
        <f>'Kalkulace a Porovnání'!P379</f>
        <v>0</v>
      </c>
      <c r="Q379" s="32">
        <f>'Kalkulace a Porovnání'!Q379</f>
        <v>0</v>
      </c>
      <c r="T379" s="12" t="s">
        <v>33</v>
      </c>
      <c r="U379" s="21" t="s">
        <v>34</v>
      </c>
      <c r="V379" s="3" t="s">
        <v>10</v>
      </c>
      <c r="W379" s="49">
        <f>'Kalkulace a Porovnání'!W379</f>
        <v>0</v>
      </c>
      <c r="X379" s="49">
        <f>'Kalkulace a Porovnání'!X379</f>
        <v>0</v>
      </c>
      <c r="Y379" s="49">
        <f>'Kalkulace a Porovnání'!Y379</f>
        <v>0</v>
      </c>
      <c r="Z379" s="49">
        <f>'Kalkulace a Porovnání'!Z379</f>
        <v>0</v>
      </c>
      <c r="AA379" s="49">
        <f>'Kalkulace a Porovnání'!AA379</f>
        <v>0</v>
      </c>
      <c r="AB379" s="32">
        <f>'Kalkulace a Porovnání'!AB379</f>
        <v>0</v>
      </c>
      <c r="AC379" s="183"/>
      <c r="AD379" s="547"/>
      <c r="AG379" s="547"/>
      <c r="AH379" s="547"/>
      <c r="AI379" s="342"/>
      <c r="AJ379" s="342"/>
      <c r="AK379" s="547"/>
      <c r="AL379" s="183"/>
    </row>
    <row r="380" spans="2:38" x14ac:dyDescent="0.25">
      <c r="B380" s="12" t="s">
        <v>35</v>
      </c>
      <c r="C380" s="13" t="s">
        <v>36</v>
      </c>
      <c r="D380" s="3" t="s">
        <v>10</v>
      </c>
      <c r="E380" s="49">
        <f>'Kalkulace a Porovnání'!E380</f>
        <v>0</v>
      </c>
      <c r="F380" s="49">
        <f>'Kalkulace a Porovnání'!F380</f>
        <v>0</v>
      </c>
      <c r="G380" s="49">
        <f>'Kalkulace a Porovnání'!G380</f>
        <v>0</v>
      </c>
      <c r="H380" s="32">
        <f>'Kalkulace a Porovnání'!H380</f>
        <v>0</v>
      </c>
      <c r="K380" s="12" t="s">
        <v>35</v>
      </c>
      <c r="L380" s="13" t="s">
        <v>36</v>
      </c>
      <c r="M380" s="3" t="s">
        <v>10</v>
      </c>
      <c r="N380" s="49">
        <f>'Kalkulace a Porovnání'!N380</f>
        <v>0</v>
      </c>
      <c r="O380" s="49">
        <f>'Kalkulace a Porovnání'!O380</f>
        <v>0</v>
      </c>
      <c r="P380" s="49">
        <f>'Kalkulace a Porovnání'!P380</f>
        <v>0</v>
      </c>
      <c r="Q380" s="32">
        <f>'Kalkulace a Porovnání'!Q380</f>
        <v>0</v>
      </c>
      <c r="T380" s="12" t="s">
        <v>35</v>
      </c>
      <c r="U380" s="13" t="s">
        <v>36</v>
      </c>
      <c r="V380" s="3" t="s">
        <v>10</v>
      </c>
      <c r="W380" s="49">
        <f>'Kalkulace a Porovnání'!W380</f>
        <v>0</v>
      </c>
      <c r="X380" s="49">
        <f>'Kalkulace a Porovnání'!X380</f>
        <v>0</v>
      </c>
      <c r="Y380" s="49">
        <f>'Kalkulace a Porovnání'!Y380</f>
        <v>0</v>
      </c>
      <c r="Z380" s="49">
        <f>'Kalkulace a Porovnání'!Z380</f>
        <v>0</v>
      </c>
      <c r="AA380" s="49">
        <f>'Kalkulace a Porovnání'!AA380</f>
        <v>0</v>
      </c>
      <c r="AB380" s="32">
        <f>'Kalkulace a Porovnání'!AB380</f>
        <v>0</v>
      </c>
      <c r="AC380" s="183"/>
      <c r="AD380" s="547"/>
      <c r="AG380" s="547"/>
      <c r="AH380" s="547"/>
      <c r="AI380" s="342"/>
      <c r="AJ380" s="342"/>
      <c r="AK380" s="547"/>
      <c r="AL380" s="183"/>
    </row>
    <row r="381" spans="2:38" x14ac:dyDescent="0.25">
      <c r="B381" s="12" t="s">
        <v>37</v>
      </c>
      <c r="C381" s="13" t="s">
        <v>38</v>
      </c>
      <c r="D381" s="3" t="s">
        <v>10</v>
      </c>
      <c r="E381" s="49">
        <f>'Kalkulace a Porovnání'!E381</f>
        <v>0</v>
      </c>
      <c r="F381" s="49">
        <f>'Kalkulace a Porovnání'!F381</f>
        <v>0</v>
      </c>
      <c r="G381" s="49">
        <f>'Kalkulace a Porovnání'!G381</f>
        <v>0</v>
      </c>
      <c r="H381" s="32">
        <f>'Kalkulace a Porovnání'!H381</f>
        <v>0</v>
      </c>
      <c r="K381" s="12" t="s">
        <v>37</v>
      </c>
      <c r="L381" s="13" t="s">
        <v>38</v>
      </c>
      <c r="M381" s="3" t="s">
        <v>10</v>
      </c>
      <c r="N381" s="49">
        <f>'Kalkulace a Porovnání'!N381</f>
        <v>0</v>
      </c>
      <c r="O381" s="49">
        <f>'Kalkulace a Porovnání'!O381</f>
        <v>0</v>
      </c>
      <c r="P381" s="49">
        <f>'Kalkulace a Porovnání'!P381</f>
        <v>0</v>
      </c>
      <c r="Q381" s="32">
        <f>'Kalkulace a Porovnání'!Q381</f>
        <v>0</v>
      </c>
      <c r="T381" s="12" t="s">
        <v>37</v>
      </c>
      <c r="U381" s="13" t="s">
        <v>38</v>
      </c>
      <c r="V381" s="3" t="s">
        <v>10</v>
      </c>
      <c r="W381" s="49">
        <f>'Kalkulace a Porovnání'!W381</f>
        <v>0</v>
      </c>
      <c r="X381" s="49">
        <f>'Kalkulace a Porovnání'!X381</f>
        <v>0</v>
      </c>
      <c r="Y381" s="49">
        <f>'Kalkulace a Porovnání'!Y381</f>
        <v>0</v>
      </c>
      <c r="Z381" s="49">
        <f>'Kalkulace a Porovnání'!Z381</f>
        <v>0</v>
      </c>
      <c r="AA381" s="49">
        <f>'Kalkulace a Porovnání'!AA381</f>
        <v>0</v>
      </c>
      <c r="AB381" s="32">
        <f>'Kalkulace a Porovnání'!AB381</f>
        <v>0</v>
      </c>
      <c r="AC381" s="183"/>
      <c r="AD381" s="547"/>
      <c r="AG381" s="342"/>
      <c r="AH381" s="342"/>
      <c r="AI381" s="342"/>
      <c r="AJ381" s="342"/>
      <c r="AK381" s="547"/>
      <c r="AL381" s="183"/>
    </row>
    <row r="382" spans="2:38" x14ac:dyDescent="0.25">
      <c r="B382" s="12" t="s">
        <v>39</v>
      </c>
      <c r="C382" s="21" t="s">
        <v>40</v>
      </c>
      <c r="D382" s="3" t="s">
        <v>10</v>
      </c>
      <c r="E382" s="49">
        <f>'Kalkulace a Porovnání'!E382</f>
        <v>0</v>
      </c>
      <c r="F382" s="49">
        <f>'Kalkulace a Porovnání'!F382</f>
        <v>0</v>
      </c>
      <c r="G382" s="49">
        <f>'Kalkulace a Porovnání'!G382</f>
        <v>0</v>
      </c>
      <c r="H382" s="32">
        <f>'Kalkulace a Porovnání'!H382</f>
        <v>0</v>
      </c>
      <c r="K382" s="12" t="s">
        <v>39</v>
      </c>
      <c r="L382" s="21" t="s">
        <v>40</v>
      </c>
      <c r="M382" s="3" t="s">
        <v>10</v>
      </c>
      <c r="N382" s="49">
        <f>'Kalkulace a Porovnání'!N382</f>
        <v>0</v>
      </c>
      <c r="O382" s="49">
        <f>'Kalkulace a Porovnání'!O382</f>
        <v>0</v>
      </c>
      <c r="P382" s="49">
        <f>'Kalkulace a Porovnání'!P382</f>
        <v>0</v>
      </c>
      <c r="Q382" s="32">
        <f>'Kalkulace a Porovnání'!Q382</f>
        <v>0</v>
      </c>
      <c r="T382" s="12" t="s">
        <v>39</v>
      </c>
      <c r="U382" s="21" t="s">
        <v>40</v>
      </c>
      <c r="V382" s="3" t="s">
        <v>10</v>
      </c>
      <c r="W382" s="49">
        <f>'Kalkulace a Porovnání'!W382</f>
        <v>0</v>
      </c>
      <c r="X382" s="49">
        <f>'Kalkulace a Porovnání'!X382</f>
        <v>0</v>
      </c>
      <c r="Y382" s="49">
        <f>'Kalkulace a Porovnání'!Y382</f>
        <v>0</v>
      </c>
      <c r="Z382" s="49">
        <f>'Kalkulace a Porovnání'!Z382</f>
        <v>0</v>
      </c>
      <c r="AA382" s="49">
        <f>'Kalkulace a Porovnání'!AA382</f>
        <v>0</v>
      </c>
      <c r="AB382" s="32">
        <f>'Kalkulace a Porovnání'!AB382</f>
        <v>0</v>
      </c>
      <c r="AC382" s="183"/>
      <c r="AD382" s="547"/>
      <c r="AG382" s="342"/>
      <c r="AH382" s="342"/>
      <c r="AI382" s="342"/>
      <c r="AJ382" s="342"/>
      <c r="AK382" s="547"/>
      <c r="AL382" s="183"/>
    </row>
    <row r="383" spans="2:38" x14ac:dyDescent="0.25">
      <c r="B383" s="9" t="s">
        <v>41</v>
      </c>
      <c r="C383" s="10" t="s">
        <v>42</v>
      </c>
      <c r="D383" s="11" t="s">
        <v>10</v>
      </c>
      <c r="E383" s="46">
        <f>'Kalkulace a Porovnání'!E383</f>
        <v>0</v>
      </c>
      <c r="F383" s="46">
        <f>'Kalkulace a Porovnání'!F383</f>
        <v>0</v>
      </c>
      <c r="G383" s="46">
        <f>'Kalkulace a Porovnání'!G383</f>
        <v>0</v>
      </c>
      <c r="H383" s="98">
        <f>'Kalkulace a Porovnání'!H383</f>
        <v>0</v>
      </c>
      <c r="K383" s="9" t="s">
        <v>41</v>
      </c>
      <c r="L383" s="10" t="s">
        <v>42</v>
      </c>
      <c r="M383" s="11" t="s">
        <v>10</v>
      </c>
      <c r="N383" s="46">
        <f>'Kalkulace a Porovnání'!N383</f>
        <v>0</v>
      </c>
      <c r="O383" s="46">
        <f>'Kalkulace a Porovnání'!O383</f>
        <v>0</v>
      </c>
      <c r="P383" s="46">
        <f>'Kalkulace a Porovnání'!P383</f>
        <v>0</v>
      </c>
      <c r="Q383" s="98">
        <f>'Kalkulace a Porovnání'!Q383</f>
        <v>0</v>
      </c>
      <c r="T383" s="9" t="s">
        <v>41</v>
      </c>
      <c r="U383" s="10" t="s">
        <v>42</v>
      </c>
      <c r="V383" s="11" t="s">
        <v>10</v>
      </c>
      <c r="W383" s="46">
        <f>'Kalkulace a Porovnání'!W383</f>
        <v>0</v>
      </c>
      <c r="X383" s="46">
        <f>'Kalkulace a Porovnání'!X383</f>
        <v>0</v>
      </c>
      <c r="Y383" s="46">
        <f>'Kalkulace a Porovnání'!Y383</f>
        <v>0</v>
      </c>
      <c r="Z383" s="46">
        <f>'Kalkulace a Porovnání'!Z383</f>
        <v>0</v>
      </c>
      <c r="AA383" s="46">
        <f>'Kalkulace a Porovnání'!AA383</f>
        <v>0</v>
      </c>
      <c r="AB383" s="98">
        <f>'Kalkulace a Porovnání'!AB383</f>
        <v>0</v>
      </c>
      <c r="AC383" s="183"/>
      <c r="AD383" s="547"/>
      <c r="AG383" s="548"/>
      <c r="AH383" s="548"/>
      <c r="AI383" s="342"/>
      <c r="AJ383" s="342"/>
      <c r="AK383" s="547"/>
      <c r="AL383" s="183"/>
    </row>
    <row r="384" spans="2:38" x14ac:dyDescent="0.25">
      <c r="B384" s="12" t="s">
        <v>43</v>
      </c>
      <c r="C384" s="13" t="s">
        <v>44</v>
      </c>
      <c r="D384" s="3" t="s">
        <v>10</v>
      </c>
      <c r="E384" s="49">
        <f>'Kalkulace a Porovnání'!E384</f>
        <v>0</v>
      </c>
      <c r="F384" s="49">
        <f>'Kalkulace a Porovnání'!F384</f>
        <v>0</v>
      </c>
      <c r="G384" s="49">
        <f>'Kalkulace a Porovnání'!G384</f>
        <v>0</v>
      </c>
      <c r="H384" s="32">
        <f>'Kalkulace a Porovnání'!H384</f>
        <v>0</v>
      </c>
      <c r="K384" s="12" t="s">
        <v>43</v>
      </c>
      <c r="L384" s="13" t="s">
        <v>44</v>
      </c>
      <c r="M384" s="3" t="s">
        <v>10</v>
      </c>
      <c r="N384" s="49">
        <f>'Kalkulace a Porovnání'!N384</f>
        <v>0</v>
      </c>
      <c r="O384" s="49">
        <f>'Kalkulace a Porovnání'!O384</f>
        <v>0</v>
      </c>
      <c r="P384" s="49">
        <f>'Kalkulace a Porovnání'!P384</f>
        <v>0</v>
      </c>
      <c r="Q384" s="32">
        <f>'Kalkulace a Porovnání'!Q384</f>
        <v>0</v>
      </c>
      <c r="T384" s="12" t="s">
        <v>43</v>
      </c>
      <c r="U384" s="13" t="s">
        <v>44</v>
      </c>
      <c r="V384" s="3" t="s">
        <v>10</v>
      </c>
      <c r="W384" s="49">
        <f>'Kalkulace a Porovnání'!W384</f>
        <v>0</v>
      </c>
      <c r="X384" s="49">
        <f>'Kalkulace a Porovnání'!X384</f>
        <v>0</v>
      </c>
      <c r="Y384" s="49">
        <f>'Kalkulace a Porovnání'!Y384</f>
        <v>0</v>
      </c>
      <c r="Z384" s="49">
        <f>'Kalkulace a Porovnání'!Z384</f>
        <v>0</v>
      </c>
      <c r="AA384" s="49">
        <f>'Kalkulace a Porovnání'!AA384</f>
        <v>0</v>
      </c>
      <c r="AB384" s="32">
        <f>'Kalkulace a Porovnání'!AB384</f>
        <v>0</v>
      </c>
      <c r="AC384" s="183"/>
      <c r="AD384" s="547"/>
      <c r="AG384" s="972"/>
      <c r="AH384" s="972"/>
      <c r="AI384" s="342"/>
      <c r="AJ384" s="342"/>
      <c r="AK384" s="547"/>
      <c r="AL384" s="183"/>
    </row>
    <row r="385" spans="2:38" x14ac:dyDescent="0.25">
      <c r="B385" s="12" t="s">
        <v>45</v>
      </c>
      <c r="C385" s="12" t="s">
        <v>46</v>
      </c>
      <c r="D385" s="3" t="s">
        <v>10</v>
      </c>
      <c r="E385" s="49">
        <f>'Kalkulace a Porovnání'!E385</f>
        <v>0</v>
      </c>
      <c r="F385" s="49">
        <f>'Kalkulace a Porovnání'!F385</f>
        <v>0</v>
      </c>
      <c r="G385" s="49">
        <f>'Kalkulace a Porovnání'!G385</f>
        <v>0</v>
      </c>
      <c r="H385" s="32">
        <f>'Kalkulace a Porovnání'!H385</f>
        <v>0</v>
      </c>
      <c r="K385" s="12" t="s">
        <v>45</v>
      </c>
      <c r="L385" s="12" t="s">
        <v>46</v>
      </c>
      <c r="M385" s="3" t="s">
        <v>10</v>
      </c>
      <c r="N385" s="49">
        <f>'Kalkulace a Porovnání'!N385</f>
        <v>0</v>
      </c>
      <c r="O385" s="49">
        <f>'Kalkulace a Porovnání'!O385</f>
        <v>0</v>
      </c>
      <c r="P385" s="49">
        <f>'Kalkulace a Porovnání'!P385</f>
        <v>0</v>
      </c>
      <c r="Q385" s="32">
        <f>'Kalkulace a Porovnání'!Q385</f>
        <v>0</v>
      </c>
      <c r="T385" s="12" t="s">
        <v>45</v>
      </c>
      <c r="U385" s="12" t="s">
        <v>46</v>
      </c>
      <c r="V385" s="3" t="s">
        <v>10</v>
      </c>
      <c r="W385" s="49">
        <f>'Kalkulace a Porovnání'!W385</f>
        <v>0</v>
      </c>
      <c r="X385" s="49">
        <f>'Kalkulace a Porovnání'!X385</f>
        <v>0</v>
      </c>
      <c r="Y385" s="49">
        <f>'Kalkulace a Porovnání'!Y385</f>
        <v>0</v>
      </c>
      <c r="Z385" s="49">
        <f>'Kalkulace a Porovnání'!Z385</f>
        <v>0</v>
      </c>
      <c r="AA385" s="49">
        <f>'Kalkulace a Porovnání'!AA385</f>
        <v>0</v>
      </c>
      <c r="AB385" s="32">
        <f>'Kalkulace a Porovnání'!AB385</f>
        <v>0</v>
      </c>
      <c r="AC385" s="183"/>
      <c r="AD385" s="547"/>
      <c r="AG385" s="972"/>
      <c r="AH385" s="972"/>
      <c r="AI385" s="342"/>
      <c r="AJ385" s="342"/>
      <c r="AK385" s="547"/>
      <c r="AL385" s="183"/>
    </row>
    <row r="386" spans="2:38" x14ac:dyDescent="0.25">
      <c r="B386" s="12" t="s">
        <v>47</v>
      </c>
      <c r="C386" s="13" t="s">
        <v>48</v>
      </c>
      <c r="D386" s="3" t="s">
        <v>10</v>
      </c>
      <c r="E386" s="49">
        <f>'Kalkulace a Porovnání'!E386</f>
        <v>0</v>
      </c>
      <c r="F386" s="49">
        <f>'Kalkulace a Porovnání'!F386</f>
        <v>0</v>
      </c>
      <c r="G386" s="49">
        <f>'Kalkulace a Porovnání'!G386</f>
        <v>0</v>
      </c>
      <c r="H386" s="32">
        <f>'Kalkulace a Porovnání'!H386</f>
        <v>0</v>
      </c>
      <c r="K386" s="12" t="s">
        <v>47</v>
      </c>
      <c r="L386" s="13" t="s">
        <v>48</v>
      </c>
      <c r="M386" s="3" t="s">
        <v>10</v>
      </c>
      <c r="N386" s="49">
        <f>'Kalkulace a Porovnání'!N386</f>
        <v>0</v>
      </c>
      <c r="O386" s="49">
        <f>'Kalkulace a Porovnání'!O386</f>
        <v>0</v>
      </c>
      <c r="P386" s="49">
        <f>'Kalkulace a Porovnání'!P386</f>
        <v>0</v>
      </c>
      <c r="Q386" s="32">
        <f>'Kalkulace a Porovnání'!Q386</f>
        <v>0</v>
      </c>
      <c r="T386" s="12" t="s">
        <v>47</v>
      </c>
      <c r="U386" s="13" t="s">
        <v>48</v>
      </c>
      <c r="V386" s="3" t="s">
        <v>10</v>
      </c>
      <c r="W386" s="49">
        <f>'Kalkulace a Porovnání'!W386</f>
        <v>0</v>
      </c>
      <c r="X386" s="49">
        <f>'Kalkulace a Porovnání'!X386</f>
        <v>0</v>
      </c>
      <c r="Y386" s="49">
        <f>'Kalkulace a Porovnání'!Y386</f>
        <v>0</v>
      </c>
      <c r="Z386" s="49">
        <f>'Kalkulace a Porovnání'!Z386</f>
        <v>0</v>
      </c>
      <c r="AA386" s="49">
        <f>'Kalkulace a Porovnání'!AA386</f>
        <v>0</v>
      </c>
      <c r="AB386" s="32">
        <f>'Kalkulace a Porovnání'!AB386</f>
        <v>0</v>
      </c>
      <c r="AC386" s="183"/>
      <c r="AD386" s="547"/>
      <c r="AG386" s="545"/>
      <c r="AH386" s="545"/>
      <c r="AI386" s="342"/>
      <c r="AJ386" s="342"/>
      <c r="AK386" s="547"/>
      <c r="AL386" s="183"/>
    </row>
    <row r="387" spans="2:38" x14ac:dyDescent="0.25">
      <c r="B387" s="9" t="s">
        <v>49</v>
      </c>
      <c r="C387" s="10" t="s">
        <v>50</v>
      </c>
      <c r="D387" s="11" t="s">
        <v>10</v>
      </c>
      <c r="E387" s="49">
        <f>'Kalkulace a Porovnání'!E387</f>
        <v>0</v>
      </c>
      <c r="F387" s="49">
        <f>'Kalkulace a Porovnání'!F387</f>
        <v>0</v>
      </c>
      <c r="G387" s="49">
        <f>'Kalkulace a Porovnání'!G387</f>
        <v>0</v>
      </c>
      <c r="H387" s="32">
        <f>'Kalkulace a Porovnání'!H387</f>
        <v>0</v>
      </c>
      <c r="K387" s="9" t="s">
        <v>49</v>
      </c>
      <c r="L387" s="10" t="s">
        <v>50</v>
      </c>
      <c r="M387" s="11" t="s">
        <v>10</v>
      </c>
      <c r="N387" s="49">
        <f>'Kalkulace a Porovnání'!N387</f>
        <v>0</v>
      </c>
      <c r="O387" s="49">
        <f>'Kalkulace a Porovnání'!O387</f>
        <v>0</v>
      </c>
      <c r="P387" s="49">
        <f>'Kalkulace a Porovnání'!P387</f>
        <v>0</v>
      </c>
      <c r="Q387" s="32">
        <f>'Kalkulace a Porovnání'!Q387</f>
        <v>0</v>
      </c>
      <c r="T387" s="9" t="s">
        <v>49</v>
      </c>
      <c r="U387" s="10" t="s">
        <v>50</v>
      </c>
      <c r="V387" s="11" t="s">
        <v>10</v>
      </c>
      <c r="W387" s="49">
        <f>'Kalkulace a Porovnání'!W387</f>
        <v>0</v>
      </c>
      <c r="X387" s="49">
        <f>'Kalkulace a Porovnání'!X387</f>
        <v>0</v>
      </c>
      <c r="Y387" s="49">
        <f>'Kalkulace a Porovnání'!Y387</f>
        <v>0</v>
      </c>
      <c r="Z387" s="49">
        <f>'Kalkulace a Porovnání'!Z387</f>
        <v>0</v>
      </c>
      <c r="AA387" s="49">
        <f>'Kalkulace a Porovnání'!AA387</f>
        <v>0</v>
      </c>
      <c r="AB387" s="32">
        <f>'Kalkulace a Porovnání'!AB387</f>
        <v>0</v>
      </c>
      <c r="AC387" s="183"/>
      <c r="AD387" s="547"/>
      <c r="AG387" s="184"/>
      <c r="AH387" s="184"/>
      <c r="AI387" s="342"/>
      <c r="AJ387" s="342"/>
      <c r="AK387" s="547"/>
      <c r="AL387" s="183"/>
    </row>
    <row r="388" spans="2:38" x14ac:dyDescent="0.25">
      <c r="B388" s="9" t="s">
        <v>51</v>
      </c>
      <c r="C388" s="10" t="s">
        <v>52</v>
      </c>
      <c r="D388" s="11" t="s">
        <v>10</v>
      </c>
      <c r="E388" s="49">
        <f>'Kalkulace a Porovnání'!E388</f>
        <v>0</v>
      </c>
      <c r="F388" s="49">
        <f>'Kalkulace a Porovnání'!F388</f>
        <v>0</v>
      </c>
      <c r="G388" s="49">
        <f>'Kalkulace a Porovnání'!G388</f>
        <v>0</v>
      </c>
      <c r="H388" s="32">
        <f>'Kalkulace a Porovnání'!H388</f>
        <v>0</v>
      </c>
      <c r="K388" s="9" t="s">
        <v>51</v>
      </c>
      <c r="L388" s="10" t="s">
        <v>52</v>
      </c>
      <c r="M388" s="11" t="s">
        <v>10</v>
      </c>
      <c r="N388" s="49">
        <f>'Kalkulace a Porovnání'!N388</f>
        <v>0</v>
      </c>
      <c r="O388" s="49">
        <f>'Kalkulace a Porovnání'!O388</f>
        <v>0</v>
      </c>
      <c r="P388" s="49">
        <f>'Kalkulace a Porovnání'!P388</f>
        <v>0</v>
      </c>
      <c r="Q388" s="32">
        <f>'Kalkulace a Porovnání'!Q388</f>
        <v>0</v>
      </c>
      <c r="T388" s="9" t="s">
        <v>51</v>
      </c>
      <c r="U388" s="10" t="s">
        <v>52</v>
      </c>
      <c r="V388" s="11" t="s">
        <v>10</v>
      </c>
      <c r="W388" s="49">
        <f>'Kalkulace a Porovnání'!W388</f>
        <v>0</v>
      </c>
      <c r="X388" s="49">
        <f>'Kalkulace a Porovnání'!X388</f>
        <v>0</v>
      </c>
      <c r="Y388" s="49">
        <f>'Kalkulace a Porovnání'!Y388</f>
        <v>0</v>
      </c>
      <c r="Z388" s="49">
        <f>'Kalkulace a Porovnání'!Z388</f>
        <v>0</v>
      </c>
      <c r="AA388" s="49">
        <f>'Kalkulace a Porovnání'!AA388</f>
        <v>0</v>
      </c>
      <c r="AB388" s="32">
        <f>'Kalkulace a Porovnání'!AB388</f>
        <v>0</v>
      </c>
      <c r="AC388" s="183"/>
      <c r="AD388" s="547"/>
      <c r="AG388" s="184"/>
      <c r="AH388" s="184"/>
      <c r="AI388" s="342"/>
      <c r="AJ388" s="342"/>
      <c r="AK388" s="547"/>
      <c r="AL388" s="183"/>
    </row>
    <row r="389" spans="2:38" x14ac:dyDescent="0.25">
      <c r="B389" s="9" t="s">
        <v>53</v>
      </c>
      <c r="C389" s="10" t="s">
        <v>54</v>
      </c>
      <c r="D389" s="11" t="s">
        <v>10</v>
      </c>
      <c r="E389" s="49">
        <f>'Kalkulace a Porovnání'!E389</f>
        <v>0</v>
      </c>
      <c r="F389" s="49">
        <f>'Kalkulace a Porovnání'!F389</f>
        <v>0</v>
      </c>
      <c r="G389" s="49">
        <f>'Kalkulace a Porovnání'!G389</f>
        <v>0</v>
      </c>
      <c r="H389" s="32">
        <f>'Kalkulace a Porovnání'!H389</f>
        <v>0</v>
      </c>
      <c r="K389" s="9" t="s">
        <v>53</v>
      </c>
      <c r="L389" s="10" t="s">
        <v>54</v>
      </c>
      <c r="M389" s="11" t="s">
        <v>10</v>
      </c>
      <c r="N389" s="49">
        <f>'Kalkulace a Porovnání'!N389</f>
        <v>0</v>
      </c>
      <c r="O389" s="49">
        <f>'Kalkulace a Porovnání'!O389</f>
        <v>0</v>
      </c>
      <c r="P389" s="49">
        <f>'Kalkulace a Porovnání'!P389</f>
        <v>0</v>
      </c>
      <c r="Q389" s="32">
        <f>'Kalkulace a Porovnání'!Q389</f>
        <v>0</v>
      </c>
      <c r="T389" s="9" t="s">
        <v>53</v>
      </c>
      <c r="U389" s="10" t="s">
        <v>54</v>
      </c>
      <c r="V389" s="11" t="s">
        <v>10</v>
      </c>
      <c r="W389" s="49">
        <f>'Kalkulace a Porovnání'!W389</f>
        <v>0</v>
      </c>
      <c r="X389" s="49">
        <f>'Kalkulace a Porovnání'!X389</f>
        <v>0</v>
      </c>
      <c r="Y389" s="49">
        <f>'Kalkulace a Porovnání'!Y389</f>
        <v>0</v>
      </c>
      <c r="Z389" s="49">
        <f>'Kalkulace a Porovnání'!Z389</f>
        <v>0</v>
      </c>
      <c r="AA389" s="49">
        <f>'Kalkulace a Porovnání'!AA389</f>
        <v>0</v>
      </c>
      <c r="AB389" s="32">
        <f>'Kalkulace a Porovnání'!AB389</f>
        <v>0</v>
      </c>
      <c r="AC389" s="183"/>
      <c r="AD389" s="547"/>
      <c r="AG389" s="184"/>
      <c r="AH389" s="184"/>
      <c r="AI389" s="342"/>
      <c r="AJ389" s="342"/>
      <c r="AK389" s="547"/>
      <c r="AL389" s="183"/>
    </row>
    <row r="390" spans="2:38" x14ac:dyDescent="0.25">
      <c r="B390" s="9" t="s">
        <v>55</v>
      </c>
      <c r="C390" s="10" t="s">
        <v>56</v>
      </c>
      <c r="D390" s="11" t="s">
        <v>10</v>
      </c>
      <c r="E390" s="49">
        <f>'Kalkulace a Porovnání'!E390</f>
        <v>0</v>
      </c>
      <c r="F390" s="49">
        <f>'Kalkulace a Porovnání'!F390</f>
        <v>0</v>
      </c>
      <c r="G390" s="49">
        <f>'Kalkulace a Porovnání'!G390</f>
        <v>0</v>
      </c>
      <c r="H390" s="32">
        <f>'Kalkulace a Porovnání'!H390</f>
        <v>0</v>
      </c>
      <c r="K390" s="9" t="s">
        <v>55</v>
      </c>
      <c r="L390" s="10" t="s">
        <v>56</v>
      </c>
      <c r="M390" s="11" t="s">
        <v>10</v>
      </c>
      <c r="N390" s="49">
        <f>'Kalkulace a Porovnání'!N390</f>
        <v>0</v>
      </c>
      <c r="O390" s="49">
        <f>'Kalkulace a Porovnání'!O390</f>
        <v>0</v>
      </c>
      <c r="P390" s="49">
        <f>'Kalkulace a Porovnání'!P390</f>
        <v>0</v>
      </c>
      <c r="Q390" s="32">
        <f>'Kalkulace a Porovnání'!Q390</f>
        <v>0</v>
      </c>
      <c r="T390" s="9" t="s">
        <v>55</v>
      </c>
      <c r="U390" s="10" t="s">
        <v>56</v>
      </c>
      <c r="V390" s="11" t="s">
        <v>10</v>
      </c>
      <c r="W390" s="49">
        <f>'Kalkulace a Porovnání'!W390</f>
        <v>0</v>
      </c>
      <c r="X390" s="49">
        <f>'Kalkulace a Porovnání'!X390</f>
        <v>0</v>
      </c>
      <c r="Y390" s="49">
        <f>'Kalkulace a Porovnání'!Y390</f>
        <v>0</v>
      </c>
      <c r="Z390" s="49">
        <f>'Kalkulace a Porovnání'!Z390</f>
        <v>0</v>
      </c>
      <c r="AA390" s="49">
        <f>'Kalkulace a Porovnání'!AA390</f>
        <v>0</v>
      </c>
      <c r="AB390" s="32">
        <f>'Kalkulace a Porovnání'!AB390</f>
        <v>0</v>
      </c>
      <c r="AC390" s="183"/>
      <c r="AD390" s="547"/>
      <c r="AG390" s="184"/>
      <c r="AH390" s="184"/>
      <c r="AI390" s="342"/>
      <c r="AJ390" s="342"/>
      <c r="AK390" s="547"/>
      <c r="AL390" s="183"/>
    </row>
    <row r="391" spans="2:38" x14ac:dyDescent="0.25">
      <c r="B391" s="9" t="s">
        <v>57</v>
      </c>
      <c r="C391" s="10" t="s">
        <v>58</v>
      </c>
      <c r="D391" s="11" t="s">
        <v>10</v>
      </c>
      <c r="E391" s="46">
        <f>'Kalkulace a Porovnání'!E391</f>
        <v>0</v>
      </c>
      <c r="F391" s="46">
        <f>'Kalkulace a Porovnání'!F391</f>
        <v>0</v>
      </c>
      <c r="G391" s="46">
        <f>'Kalkulace a Porovnání'!G391</f>
        <v>0</v>
      </c>
      <c r="H391" s="98">
        <f>'Kalkulace a Porovnání'!H391</f>
        <v>0</v>
      </c>
      <c r="K391" s="9" t="s">
        <v>57</v>
      </c>
      <c r="L391" s="10" t="s">
        <v>58</v>
      </c>
      <c r="M391" s="11" t="s">
        <v>10</v>
      </c>
      <c r="N391" s="46">
        <f>'Kalkulace a Porovnání'!N391</f>
        <v>0</v>
      </c>
      <c r="O391" s="46">
        <f>'Kalkulace a Porovnání'!O391</f>
        <v>0</v>
      </c>
      <c r="P391" s="46">
        <f>'Kalkulace a Porovnání'!P391</f>
        <v>0</v>
      </c>
      <c r="Q391" s="98">
        <f>'Kalkulace a Porovnání'!Q391</f>
        <v>0</v>
      </c>
      <c r="T391" s="9" t="s">
        <v>57</v>
      </c>
      <c r="U391" s="10" t="s">
        <v>58</v>
      </c>
      <c r="V391" s="11" t="s">
        <v>10</v>
      </c>
      <c r="W391" s="46">
        <f>'Kalkulace a Porovnání'!W391</f>
        <v>0</v>
      </c>
      <c r="X391" s="46">
        <f>'Kalkulace a Porovnání'!X391</f>
        <v>0</v>
      </c>
      <c r="Y391" s="46">
        <f>'Kalkulace a Porovnání'!Y391</f>
        <v>0</v>
      </c>
      <c r="Z391" s="46">
        <f>'Kalkulace a Porovnání'!Z391</f>
        <v>0</v>
      </c>
      <c r="AA391" s="46">
        <f>'Kalkulace a Porovnání'!AA391</f>
        <v>0</v>
      </c>
      <c r="AB391" s="98">
        <f>'Kalkulace a Porovnání'!AB391</f>
        <v>0</v>
      </c>
      <c r="AC391" s="183"/>
      <c r="AD391" s="547"/>
      <c r="AG391" s="184"/>
      <c r="AH391" s="184"/>
      <c r="AI391" s="342"/>
      <c r="AJ391" s="342"/>
      <c r="AK391" s="547"/>
      <c r="AL391" s="183"/>
    </row>
    <row r="392" spans="2:38" x14ac:dyDescent="0.25">
      <c r="B392" s="12" t="s">
        <v>59</v>
      </c>
      <c r="C392" s="13" t="s">
        <v>112</v>
      </c>
      <c r="D392" s="3" t="s">
        <v>10</v>
      </c>
      <c r="E392" s="437">
        <f>'Kalkulace a Porovnání'!E392</f>
        <v>0</v>
      </c>
      <c r="F392" s="437">
        <f>'Kalkulace a Porovnání'!F392</f>
        <v>0</v>
      </c>
      <c r="G392" s="437">
        <f>'Kalkulace a Porovnání'!G392</f>
        <v>0</v>
      </c>
      <c r="H392" s="438">
        <f>'Kalkulace a Porovnání'!H392</f>
        <v>0</v>
      </c>
      <c r="K392" s="12" t="s">
        <v>59</v>
      </c>
      <c r="L392" s="13" t="s">
        <v>112</v>
      </c>
      <c r="M392" s="3" t="s">
        <v>10</v>
      </c>
      <c r="N392" s="437">
        <f>'Kalkulace a Porovnání'!N392</f>
        <v>0</v>
      </c>
      <c r="O392" s="437">
        <f>'Kalkulace a Porovnání'!O392</f>
        <v>0</v>
      </c>
      <c r="P392" s="437">
        <f>'Kalkulace a Porovnání'!P392</f>
        <v>0</v>
      </c>
      <c r="Q392" s="438">
        <f>'Kalkulace a Porovnání'!Q392</f>
        <v>0</v>
      </c>
      <c r="T392" s="12" t="s">
        <v>59</v>
      </c>
      <c r="U392" s="13" t="s">
        <v>112</v>
      </c>
      <c r="V392" s="3" t="s">
        <v>10</v>
      </c>
      <c r="W392" s="437">
        <f>'Kalkulace a Porovnání'!W392</f>
        <v>0</v>
      </c>
      <c r="X392" s="437">
        <f>'Kalkulace a Porovnání'!X392</f>
        <v>0</v>
      </c>
      <c r="Y392" s="437">
        <f>'Kalkulace a Porovnání'!Y392</f>
        <v>0</v>
      </c>
      <c r="Z392" s="437">
        <f>'Kalkulace a Porovnání'!Z392</f>
        <v>0</v>
      </c>
      <c r="AA392" s="437">
        <f>'Kalkulace a Porovnání'!AA392</f>
        <v>0</v>
      </c>
      <c r="AB392" s="438">
        <f>'Kalkulace a Porovnání'!AB392</f>
        <v>0</v>
      </c>
      <c r="AC392" s="183"/>
      <c r="AD392" s="547"/>
      <c r="AG392" s="973"/>
      <c r="AH392" s="973"/>
      <c r="AI392" s="342"/>
      <c r="AJ392" s="342"/>
      <c r="AK392" s="547"/>
      <c r="AL392" s="183"/>
    </row>
    <row r="393" spans="2:38" x14ac:dyDescent="0.25">
      <c r="B393" s="12" t="s">
        <v>60</v>
      </c>
      <c r="C393" s="13" t="s">
        <v>113</v>
      </c>
      <c r="D393" s="3" t="s">
        <v>10</v>
      </c>
      <c r="E393" s="437">
        <f>'Kalkulace a Porovnání'!E393</f>
        <v>0</v>
      </c>
      <c r="F393" s="437">
        <f>'Kalkulace a Porovnání'!F393</f>
        <v>0</v>
      </c>
      <c r="G393" s="437">
        <f>'Kalkulace a Porovnání'!G393</f>
        <v>0</v>
      </c>
      <c r="H393" s="438">
        <f>'Kalkulace a Porovnání'!H393</f>
        <v>0</v>
      </c>
      <c r="K393" s="12" t="s">
        <v>60</v>
      </c>
      <c r="L393" s="13" t="s">
        <v>113</v>
      </c>
      <c r="M393" s="3" t="s">
        <v>10</v>
      </c>
      <c r="N393" s="437">
        <f>'Kalkulace a Porovnání'!N393</f>
        <v>0</v>
      </c>
      <c r="O393" s="437">
        <f>'Kalkulace a Porovnání'!O393</f>
        <v>0</v>
      </c>
      <c r="P393" s="437">
        <f>'Kalkulace a Porovnání'!P393</f>
        <v>0</v>
      </c>
      <c r="Q393" s="438">
        <f>'Kalkulace a Porovnání'!Q393</f>
        <v>0</v>
      </c>
      <c r="T393" s="12" t="s">
        <v>60</v>
      </c>
      <c r="U393" s="13" t="s">
        <v>113</v>
      </c>
      <c r="V393" s="3" t="s">
        <v>10</v>
      </c>
      <c r="W393" s="437">
        <f>'Kalkulace a Porovnání'!W393</f>
        <v>0</v>
      </c>
      <c r="X393" s="437">
        <f>'Kalkulace a Porovnání'!X393</f>
        <v>0</v>
      </c>
      <c r="Y393" s="437">
        <f>'Kalkulace a Porovnání'!Y393</f>
        <v>0</v>
      </c>
      <c r="Z393" s="437">
        <f>'Kalkulace a Porovnání'!Z393</f>
        <v>0</v>
      </c>
      <c r="AA393" s="437">
        <f>'Kalkulace a Porovnání'!AA393</f>
        <v>0</v>
      </c>
      <c r="AB393" s="438">
        <f>'Kalkulace a Porovnání'!AB393</f>
        <v>0</v>
      </c>
      <c r="AC393" s="183"/>
      <c r="AD393" s="547"/>
      <c r="AG393" s="973"/>
      <c r="AH393" s="973"/>
      <c r="AI393" s="342"/>
      <c r="AJ393" s="342"/>
      <c r="AK393" s="547"/>
      <c r="AL393" s="183"/>
    </row>
    <row r="394" spans="2:38" x14ac:dyDescent="0.25">
      <c r="B394" s="12" t="s">
        <v>61</v>
      </c>
      <c r="C394" s="13" t="s">
        <v>62</v>
      </c>
      <c r="D394" s="3" t="s">
        <v>63</v>
      </c>
      <c r="E394" s="439">
        <f>'Kalkulace a Porovnání'!E394</f>
        <v>0</v>
      </c>
      <c r="F394" s="439">
        <f>'Kalkulace a Porovnání'!F394</f>
        <v>0</v>
      </c>
      <c r="G394" s="439">
        <f>'Kalkulace a Porovnání'!G394</f>
        <v>0</v>
      </c>
      <c r="H394" s="440">
        <f>'Kalkulace a Porovnání'!H394</f>
        <v>0</v>
      </c>
      <c r="K394" s="12" t="s">
        <v>61</v>
      </c>
      <c r="L394" s="13" t="s">
        <v>62</v>
      </c>
      <c r="M394" s="3" t="s">
        <v>63</v>
      </c>
      <c r="N394" s="439">
        <f>'Kalkulace a Porovnání'!N394</f>
        <v>0</v>
      </c>
      <c r="O394" s="439">
        <f>'Kalkulace a Porovnání'!O394</f>
        <v>0</v>
      </c>
      <c r="P394" s="439">
        <f>'Kalkulace a Porovnání'!P394</f>
        <v>0</v>
      </c>
      <c r="Q394" s="440">
        <f>'Kalkulace a Porovnání'!Q394</f>
        <v>0</v>
      </c>
      <c r="T394" s="12" t="s">
        <v>61</v>
      </c>
      <c r="U394" s="13" t="s">
        <v>62</v>
      </c>
      <c r="V394" s="3" t="s">
        <v>63</v>
      </c>
      <c r="W394" s="439">
        <f>'Kalkulace a Porovnání'!W394</f>
        <v>0</v>
      </c>
      <c r="X394" s="439">
        <f>'Kalkulace a Porovnání'!X394</f>
        <v>0</v>
      </c>
      <c r="Y394" s="439">
        <f>'Kalkulace a Porovnání'!Y394</f>
        <v>0</v>
      </c>
      <c r="Z394" s="439">
        <f>'Kalkulace a Porovnání'!Z394</f>
        <v>0</v>
      </c>
      <c r="AA394" s="439">
        <f>'Kalkulace a Porovnání'!AA394</f>
        <v>0</v>
      </c>
      <c r="AB394" s="440">
        <f>'Kalkulace a Porovnání'!AB394</f>
        <v>0</v>
      </c>
      <c r="AC394" s="183"/>
      <c r="AD394" s="547"/>
      <c r="AG394" s="972"/>
      <c r="AH394" s="972"/>
      <c r="AI394" s="342"/>
      <c r="AJ394" s="342"/>
      <c r="AK394" s="547"/>
      <c r="AL394" s="183"/>
    </row>
    <row r="395" spans="2:38" x14ac:dyDescent="0.25">
      <c r="B395" s="12" t="s">
        <v>64</v>
      </c>
      <c r="C395" s="13" t="s">
        <v>65</v>
      </c>
      <c r="D395" s="3" t="s">
        <v>66</v>
      </c>
      <c r="E395" s="49">
        <f>'Kalkulace a Porovnání'!E395</f>
        <v>0</v>
      </c>
      <c r="F395" s="49">
        <f>'Kalkulace a Porovnání'!F395</f>
        <v>0</v>
      </c>
      <c r="G395" s="49">
        <f>'Kalkulace a Porovnání'!G395</f>
        <v>0</v>
      </c>
      <c r="H395" s="32">
        <f>'Kalkulace a Porovnání'!H395</f>
        <v>0</v>
      </c>
      <c r="K395" s="12" t="s">
        <v>64</v>
      </c>
      <c r="L395" s="13" t="s">
        <v>65</v>
      </c>
      <c r="M395" s="3" t="s">
        <v>66</v>
      </c>
      <c r="N395" s="49">
        <f>'Kalkulace a Porovnání'!N395</f>
        <v>0</v>
      </c>
      <c r="O395" s="49">
        <f>'Kalkulace a Porovnání'!O395</f>
        <v>0</v>
      </c>
      <c r="P395" s="49">
        <f>'Kalkulace a Porovnání'!P395</f>
        <v>0</v>
      </c>
      <c r="Q395" s="32">
        <f>'Kalkulace a Porovnání'!Q395</f>
        <v>0</v>
      </c>
      <c r="T395" s="12" t="s">
        <v>64</v>
      </c>
      <c r="U395" s="13" t="s">
        <v>65</v>
      </c>
      <c r="V395" s="3" t="s">
        <v>66</v>
      </c>
      <c r="W395" s="49">
        <f>'Kalkulace a Porovnání'!W395</f>
        <v>0</v>
      </c>
      <c r="X395" s="49">
        <f>'Kalkulace a Porovnání'!X395</f>
        <v>0</v>
      </c>
      <c r="Y395" s="49">
        <f>'Kalkulace a Porovnání'!Y395</f>
        <v>0</v>
      </c>
      <c r="Z395" s="49">
        <f>'Kalkulace a Porovnání'!Z395</f>
        <v>0</v>
      </c>
      <c r="AA395" s="49">
        <f>'Kalkulace a Porovnání'!AA395</f>
        <v>0</v>
      </c>
      <c r="AB395" s="32">
        <f>'Kalkulace a Porovnání'!AB395</f>
        <v>0</v>
      </c>
      <c r="AC395" s="183"/>
      <c r="AD395" s="547"/>
      <c r="AG395" s="972"/>
      <c r="AH395" s="972"/>
      <c r="AI395" s="342"/>
      <c r="AJ395" s="342"/>
      <c r="AK395" s="547"/>
      <c r="AL395" s="183"/>
    </row>
    <row r="396" spans="2:38" x14ac:dyDescent="0.25">
      <c r="B396" s="12" t="s">
        <v>67</v>
      </c>
      <c r="C396" s="13" t="s">
        <v>68</v>
      </c>
      <c r="D396" s="3" t="s">
        <v>66</v>
      </c>
      <c r="E396" s="49">
        <f>'Kalkulace a Porovnání'!E396</f>
        <v>0</v>
      </c>
      <c r="F396" s="49">
        <f>'Kalkulace a Porovnání'!F396</f>
        <v>0</v>
      </c>
      <c r="G396" s="49">
        <f>'Kalkulace a Porovnání'!G396</f>
        <v>0</v>
      </c>
      <c r="H396" s="32">
        <f>'Kalkulace a Porovnání'!H396</f>
        <v>0</v>
      </c>
      <c r="K396" s="12" t="s">
        <v>67</v>
      </c>
      <c r="L396" s="13" t="s">
        <v>68</v>
      </c>
      <c r="M396" s="3" t="s">
        <v>66</v>
      </c>
      <c r="N396" s="49">
        <f>'Kalkulace a Porovnání'!N396</f>
        <v>0</v>
      </c>
      <c r="O396" s="49">
        <f>'Kalkulace a Porovnání'!O396</f>
        <v>0</v>
      </c>
      <c r="P396" s="49">
        <f>'Kalkulace a Porovnání'!P396</f>
        <v>0</v>
      </c>
      <c r="Q396" s="32">
        <f>'Kalkulace a Porovnání'!Q396</f>
        <v>0</v>
      </c>
      <c r="T396" s="12" t="s">
        <v>67</v>
      </c>
      <c r="U396" s="13" t="s">
        <v>68</v>
      </c>
      <c r="V396" s="3" t="s">
        <v>66</v>
      </c>
      <c r="W396" s="49">
        <f>'Kalkulace a Porovnání'!W396</f>
        <v>0</v>
      </c>
      <c r="X396" s="49">
        <f>'Kalkulace a Porovnání'!X396</f>
        <v>0</v>
      </c>
      <c r="Y396" s="49">
        <f>'Kalkulace a Porovnání'!Y396</f>
        <v>0</v>
      </c>
      <c r="Z396" s="49">
        <f>'Kalkulace a Porovnání'!Z396</f>
        <v>0</v>
      </c>
      <c r="AA396" s="49">
        <f>'Kalkulace a Porovnání'!AA396</f>
        <v>0</v>
      </c>
      <c r="AB396" s="32">
        <f>'Kalkulace a Porovnání'!AB396</f>
        <v>0</v>
      </c>
      <c r="AC396" s="183"/>
      <c r="AD396" s="547"/>
      <c r="AG396" s="184"/>
      <c r="AH396" s="184"/>
      <c r="AI396" s="342"/>
      <c r="AJ396" s="342"/>
      <c r="AK396" s="547"/>
      <c r="AL396" s="183"/>
    </row>
    <row r="397" spans="2:38" x14ac:dyDescent="0.25">
      <c r="B397" s="12" t="s">
        <v>69</v>
      </c>
      <c r="C397" s="13" t="s">
        <v>70</v>
      </c>
      <c r="D397" s="3" t="s">
        <v>66</v>
      </c>
      <c r="E397" s="49">
        <f>'Kalkulace a Porovnání'!E397</f>
        <v>0</v>
      </c>
      <c r="F397" s="49">
        <f>'Kalkulace a Porovnání'!F397</f>
        <v>0</v>
      </c>
      <c r="G397" s="49">
        <f>'Kalkulace a Porovnání'!G397</f>
        <v>0</v>
      </c>
      <c r="H397" s="32">
        <f>'Kalkulace a Porovnání'!H397</f>
        <v>0</v>
      </c>
      <c r="K397" s="12" t="s">
        <v>69</v>
      </c>
      <c r="L397" s="13" t="s">
        <v>70</v>
      </c>
      <c r="M397" s="3" t="s">
        <v>66</v>
      </c>
      <c r="N397" s="49">
        <f>'Kalkulace a Porovnání'!N397</f>
        <v>0</v>
      </c>
      <c r="O397" s="49">
        <f>'Kalkulace a Porovnání'!O397</f>
        <v>0</v>
      </c>
      <c r="P397" s="49">
        <f>'Kalkulace a Porovnání'!P397</f>
        <v>0</v>
      </c>
      <c r="Q397" s="32">
        <f>'Kalkulace a Porovnání'!Q397</f>
        <v>0</v>
      </c>
      <c r="T397" s="12" t="s">
        <v>69</v>
      </c>
      <c r="U397" s="13" t="s">
        <v>70</v>
      </c>
      <c r="V397" s="3" t="s">
        <v>66</v>
      </c>
      <c r="W397" s="49">
        <f>'Kalkulace a Porovnání'!W397</f>
        <v>0</v>
      </c>
      <c r="X397" s="49">
        <f>'Kalkulace a Porovnání'!X397</f>
        <v>0</v>
      </c>
      <c r="Y397" s="49">
        <f>'Kalkulace a Porovnání'!Y397</f>
        <v>0</v>
      </c>
      <c r="Z397" s="49">
        <f>'Kalkulace a Porovnání'!Z397</f>
        <v>0</v>
      </c>
      <c r="AA397" s="49">
        <f>'Kalkulace a Porovnání'!AA397</f>
        <v>0</v>
      </c>
      <c r="AB397" s="32">
        <f>'Kalkulace a Porovnání'!AB397</f>
        <v>0</v>
      </c>
      <c r="AC397" s="183"/>
      <c r="AD397" s="547"/>
      <c r="AG397" s="549"/>
      <c r="AH397" s="549"/>
      <c r="AI397" s="342"/>
      <c r="AJ397" s="342"/>
      <c r="AK397" s="547"/>
      <c r="AL397" s="183"/>
    </row>
    <row r="398" spans="2:38" x14ac:dyDescent="0.25">
      <c r="B398" s="12" t="s">
        <v>71</v>
      </c>
      <c r="C398" s="13" t="s">
        <v>68</v>
      </c>
      <c r="D398" s="3" t="s">
        <v>66</v>
      </c>
      <c r="E398" s="49">
        <f>'Kalkulace a Porovnání'!E398</f>
        <v>0</v>
      </c>
      <c r="F398" s="49">
        <f>'Kalkulace a Porovnání'!F398</f>
        <v>0</v>
      </c>
      <c r="G398" s="49">
        <f>'Kalkulace a Porovnání'!G398</f>
        <v>0</v>
      </c>
      <c r="H398" s="32">
        <f>'Kalkulace a Porovnání'!H398</f>
        <v>0</v>
      </c>
      <c r="K398" s="12" t="s">
        <v>71</v>
      </c>
      <c r="L398" s="13" t="s">
        <v>68</v>
      </c>
      <c r="M398" s="3" t="s">
        <v>66</v>
      </c>
      <c r="N398" s="49">
        <f>'Kalkulace a Porovnání'!N398</f>
        <v>0</v>
      </c>
      <c r="O398" s="49">
        <f>'Kalkulace a Porovnání'!O398</f>
        <v>0</v>
      </c>
      <c r="P398" s="49">
        <f>'Kalkulace a Porovnání'!P398</f>
        <v>0</v>
      </c>
      <c r="Q398" s="32">
        <f>'Kalkulace a Porovnání'!Q398</f>
        <v>0</v>
      </c>
      <c r="T398" s="12" t="s">
        <v>71</v>
      </c>
      <c r="U398" s="13" t="s">
        <v>68</v>
      </c>
      <c r="V398" s="3" t="s">
        <v>66</v>
      </c>
      <c r="W398" s="49">
        <f>'Kalkulace a Porovnání'!W398</f>
        <v>0</v>
      </c>
      <c r="X398" s="49">
        <f>'Kalkulace a Porovnání'!X398</f>
        <v>0</v>
      </c>
      <c r="Y398" s="49">
        <f>'Kalkulace a Porovnání'!Y398</f>
        <v>0</v>
      </c>
      <c r="Z398" s="49">
        <f>'Kalkulace a Porovnání'!Z398</f>
        <v>0</v>
      </c>
      <c r="AA398" s="49">
        <f>'Kalkulace a Porovnání'!AA398</f>
        <v>0</v>
      </c>
      <c r="AB398" s="32">
        <f>'Kalkulace a Porovnání'!AB398</f>
        <v>0</v>
      </c>
      <c r="AC398" s="183"/>
      <c r="AD398" s="547"/>
      <c r="AG398" s="546"/>
      <c r="AH398" s="546"/>
      <c r="AI398" s="342"/>
      <c r="AJ398" s="342"/>
      <c r="AK398" s="547"/>
      <c r="AL398" s="183"/>
    </row>
    <row r="399" spans="2:38" x14ac:dyDescent="0.25">
      <c r="B399" s="12" t="s">
        <v>72</v>
      </c>
      <c r="C399" s="13" t="s">
        <v>73</v>
      </c>
      <c r="D399" s="3" t="s">
        <v>66</v>
      </c>
      <c r="E399" s="49">
        <f>'Kalkulace a Porovnání'!E399</f>
        <v>0</v>
      </c>
      <c r="F399" s="49">
        <f>'Kalkulace a Porovnání'!F399</f>
        <v>0</v>
      </c>
      <c r="G399" s="49">
        <f>'Kalkulace a Porovnání'!G399</f>
        <v>0</v>
      </c>
      <c r="H399" s="32">
        <f>'Kalkulace a Porovnání'!H399</f>
        <v>0</v>
      </c>
      <c r="K399" s="12" t="s">
        <v>72</v>
      </c>
      <c r="L399" s="13" t="s">
        <v>73</v>
      </c>
      <c r="M399" s="3" t="s">
        <v>66</v>
      </c>
      <c r="N399" s="49">
        <f>'Kalkulace a Porovnání'!N399</f>
        <v>0</v>
      </c>
      <c r="O399" s="49">
        <f>'Kalkulace a Porovnání'!O399</f>
        <v>0</v>
      </c>
      <c r="P399" s="49">
        <f>'Kalkulace a Porovnání'!P399</f>
        <v>0</v>
      </c>
      <c r="Q399" s="32">
        <f>'Kalkulace a Porovnání'!Q399</f>
        <v>0</v>
      </c>
      <c r="T399" s="12" t="s">
        <v>72</v>
      </c>
      <c r="U399" s="13" t="s">
        <v>73</v>
      </c>
      <c r="V399" s="3" t="s">
        <v>66</v>
      </c>
      <c r="W399" s="49">
        <f>'Kalkulace a Porovnání'!W399</f>
        <v>0</v>
      </c>
      <c r="X399" s="49">
        <f>'Kalkulace a Porovnání'!X399</f>
        <v>0</v>
      </c>
      <c r="Y399" s="49">
        <f>'Kalkulace a Porovnání'!Y399</f>
        <v>0</v>
      </c>
      <c r="Z399" s="49">
        <f>'Kalkulace a Porovnání'!Z399</f>
        <v>0</v>
      </c>
      <c r="AA399" s="49">
        <f>'Kalkulace a Porovnání'!AA399</f>
        <v>0</v>
      </c>
      <c r="AB399" s="32">
        <f>'Kalkulace a Porovnání'!AB399</f>
        <v>0</v>
      </c>
      <c r="AC399" s="183"/>
      <c r="AD399" s="547"/>
      <c r="AG399" s="184"/>
      <c r="AH399" s="184"/>
      <c r="AI399" s="549"/>
      <c r="AJ399" s="549"/>
      <c r="AK399" s="547"/>
      <c r="AL399" s="183"/>
    </row>
    <row r="400" spans="2:38" x14ac:dyDescent="0.25">
      <c r="B400" s="12" t="s">
        <v>74</v>
      </c>
      <c r="C400" s="13" t="s">
        <v>75</v>
      </c>
      <c r="D400" s="3" t="s">
        <v>66</v>
      </c>
      <c r="E400" s="49">
        <f>'Kalkulace a Porovnání'!E400</f>
        <v>0</v>
      </c>
      <c r="F400" s="49">
        <f>'Kalkulace a Porovnání'!F400</f>
        <v>0</v>
      </c>
      <c r="G400" s="49">
        <f>'Kalkulace a Porovnání'!G400</f>
        <v>0</v>
      </c>
      <c r="H400" s="32">
        <f>'Kalkulace a Porovnání'!H400</f>
        <v>0</v>
      </c>
      <c r="K400" s="12" t="s">
        <v>74</v>
      </c>
      <c r="L400" s="13" t="s">
        <v>75</v>
      </c>
      <c r="M400" s="3" t="s">
        <v>66</v>
      </c>
      <c r="N400" s="49">
        <f>'Kalkulace a Porovnání'!N400</f>
        <v>0</v>
      </c>
      <c r="O400" s="49">
        <f>'Kalkulace a Porovnání'!O400</f>
        <v>0</v>
      </c>
      <c r="P400" s="49">
        <f>'Kalkulace a Porovnání'!P400</f>
        <v>0</v>
      </c>
      <c r="Q400" s="32">
        <f>'Kalkulace a Porovnání'!Q400</f>
        <v>0</v>
      </c>
      <c r="T400" s="12" t="s">
        <v>74</v>
      </c>
      <c r="U400" s="13" t="s">
        <v>75</v>
      </c>
      <c r="V400" s="3" t="s">
        <v>66</v>
      </c>
      <c r="W400" s="49">
        <f>'Kalkulace a Porovnání'!W400</f>
        <v>0</v>
      </c>
      <c r="X400" s="49">
        <f>'Kalkulace a Porovnání'!X400</f>
        <v>0</v>
      </c>
      <c r="Y400" s="49">
        <f>'Kalkulace a Porovnání'!Y400</f>
        <v>0</v>
      </c>
      <c r="Z400" s="49">
        <f>'Kalkulace a Porovnání'!Z400</f>
        <v>0</v>
      </c>
      <c r="AA400" s="49">
        <f>'Kalkulace a Porovnání'!AA400</f>
        <v>0</v>
      </c>
      <c r="AB400" s="32">
        <f>'Kalkulace a Porovnání'!AB400</f>
        <v>0</v>
      </c>
      <c r="AC400" s="183"/>
      <c r="AD400" s="547"/>
      <c r="AG400" s="184"/>
      <c r="AH400" s="184"/>
      <c r="AI400" s="549"/>
      <c r="AJ400" s="549"/>
      <c r="AK400" s="547"/>
      <c r="AL400" s="183"/>
    </row>
    <row r="401" spans="2:38" x14ac:dyDescent="0.25">
      <c r="B401" s="12" t="s">
        <v>76</v>
      </c>
      <c r="C401" s="13" t="s">
        <v>77</v>
      </c>
      <c r="D401" s="3" t="s">
        <v>66</v>
      </c>
      <c r="E401" s="49">
        <f>'Kalkulace a Porovnání'!E401</f>
        <v>0</v>
      </c>
      <c r="F401" s="49">
        <f>'Kalkulace a Porovnání'!F401</f>
        <v>0</v>
      </c>
      <c r="G401" s="49">
        <f>'Kalkulace a Porovnání'!G401</f>
        <v>0</v>
      </c>
      <c r="H401" s="32">
        <f>'Kalkulace a Porovnání'!H401</f>
        <v>0</v>
      </c>
      <c r="K401" s="12" t="s">
        <v>76</v>
      </c>
      <c r="L401" s="13" t="s">
        <v>77</v>
      </c>
      <c r="M401" s="3" t="s">
        <v>66</v>
      </c>
      <c r="N401" s="49">
        <f>'Kalkulace a Porovnání'!N401</f>
        <v>0</v>
      </c>
      <c r="O401" s="49">
        <f>'Kalkulace a Porovnání'!O401</f>
        <v>0</v>
      </c>
      <c r="P401" s="49">
        <f>'Kalkulace a Porovnání'!P401</f>
        <v>0</v>
      </c>
      <c r="Q401" s="32">
        <f>'Kalkulace a Porovnání'!Q401</f>
        <v>0</v>
      </c>
      <c r="T401" s="12" t="s">
        <v>76</v>
      </c>
      <c r="U401" s="13" t="s">
        <v>77</v>
      </c>
      <c r="V401" s="3" t="s">
        <v>66</v>
      </c>
      <c r="W401" s="49">
        <f>'Kalkulace a Porovnání'!W401</f>
        <v>0</v>
      </c>
      <c r="X401" s="49">
        <f>'Kalkulace a Porovnání'!X401</f>
        <v>0</v>
      </c>
      <c r="Y401" s="49">
        <f>'Kalkulace a Porovnání'!Y401</f>
        <v>0</v>
      </c>
      <c r="Z401" s="49">
        <f>'Kalkulace a Porovnání'!Z401</f>
        <v>0</v>
      </c>
      <c r="AA401" s="49">
        <f>'Kalkulace a Porovnání'!AA401</f>
        <v>0</v>
      </c>
      <c r="AB401" s="32">
        <f>'Kalkulace a Porovnání'!AB401</f>
        <v>0</v>
      </c>
      <c r="AC401" s="183"/>
      <c r="AD401" s="547"/>
      <c r="AG401" s="184"/>
      <c r="AH401" s="184"/>
      <c r="AI401" s="549"/>
      <c r="AJ401" s="549"/>
      <c r="AK401" s="547"/>
      <c r="AL401" s="183"/>
    </row>
    <row r="402" spans="2:38" x14ac:dyDescent="0.25">
      <c r="B402" s="12" t="s">
        <v>78</v>
      </c>
      <c r="C402" s="13" t="s">
        <v>79</v>
      </c>
      <c r="D402" s="3" t="s">
        <v>66</v>
      </c>
      <c r="E402" s="49">
        <f>'Kalkulace a Porovnání'!E402</f>
        <v>0</v>
      </c>
      <c r="F402" s="49">
        <f>'Kalkulace a Porovnání'!F402</f>
        <v>0</v>
      </c>
      <c r="G402" s="49">
        <f>'Kalkulace a Porovnání'!G402</f>
        <v>0</v>
      </c>
      <c r="H402" s="32">
        <f>'Kalkulace a Porovnání'!H402</f>
        <v>0</v>
      </c>
      <c r="K402" s="12" t="s">
        <v>78</v>
      </c>
      <c r="L402" s="13" t="s">
        <v>79</v>
      </c>
      <c r="M402" s="3" t="s">
        <v>66</v>
      </c>
      <c r="N402" s="49">
        <f>'Kalkulace a Porovnání'!N402</f>
        <v>0</v>
      </c>
      <c r="O402" s="49">
        <f>'Kalkulace a Porovnání'!O402</f>
        <v>0</v>
      </c>
      <c r="P402" s="49">
        <f>'Kalkulace a Porovnání'!P402</f>
        <v>0</v>
      </c>
      <c r="Q402" s="32">
        <f>'Kalkulace a Porovnání'!Q402</f>
        <v>0</v>
      </c>
      <c r="T402" s="12" t="s">
        <v>78</v>
      </c>
      <c r="U402" s="13" t="s">
        <v>79</v>
      </c>
      <c r="V402" s="3" t="s">
        <v>66</v>
      </c>
      <c r="W402" s="49">
        <f>'Kalkulace a Porovnání'!W402</f>
        <v>0</v>
      </c>
      <c r="X402" s="49">
        <f>'Kalkulace a Porovnání'!X402</f>
        <v>0</v>
      </c>
      <c r="Y402" s="49">
        <f>'Kalkulace a Porovnání'!Y402</f>
        <v>0</v>
      </c>
      <c r="Z402" s="49">
        <f>'Kalkulace a Porovnání'!Z402</f>
        <v>0</v>
      </c>
      <c r="AA402" s="49">
        <f>'Kalkulace a Porovnání'!AA402</f>
        <v>0</v>
      </c>
      <c r="AB402" s="32">
        <f>'Kalkulace a Porovnání'!AB402</f>
        <v>0</v>
      </c>
      <c r="AC402" s="183"/>
      <c r="AD402" s="547"/>
      <c r="AG402" s="421"/>
      <c r="AH402" s="421"/>
      <c r="AI402" s="342"/>
      <c r="AJ402" s="342"/>
      <c r="AK402" s="547"/>
      <c r="AL402" s="183"/>
    </row>
    <row r="403" spans="2:38" x14ac:dyDescent="0.25">
      <c r="B403" s="1"/>
      <c r="C403" s="1"/>
      <c r="D403" s="1"/>
      <c r="E403" s="1"/>
      <c r="F403" s="1"/>
      <c r="G403" s="1"/>
      <c r="H403" s="1"/>
      <c r="K403" s="1"/>
      <c r="L403" s="1"/>
      <c r="M403" s="1"/>
      <c r="N403" s="1"/>
      <c r="O403" s="1"/>
      <c r="P403" s="1"/>
      <c r="Q403" s="1"/>
      <c r="T403" s="1"/>
      <c r="U403" s="1"/>
      <c r="V403" s="1"/>
      <c r="W403" s="1"/>
      <c r="X403" s="1"/>
      <c r="Y403" s="1"/>
      <c r="Z403" s="1"/>
      <c r="AA403" s="1"/>
      <c r="AB403" s="1"/>
      <c r="AC403" s="183"/>
      <c r="AD403" s="547"/>
      <c r="AG403" s="547"/>
      <c r="AH403" s="547"/>
      <c r="AI403" s="547"/>
      <c r="AJ403" s="547"/>
      <c r="AK403" s="547"/>
      <c r="AL403" s="183"/>
    </row>
    <row r="404" spans="2:38" x14ac:dyDescent="0.25">
      <c r="B404" s="932" t="s">
        <v>5</v>
      </c>
      <c r="C404" s="721" t="s">
        <v>80</v>
      </c>
      <c r="D404" s="722"/>
      <c r="E404" s="723"/>
      <c r="F404" s="724"/>
      <c r="G404" s="722"/>
      <c r="H404" s="725"/>
      <c r="K404" s="932" t="s">
        <v>5</v>
      </c>
      <c r="L404" s="721" t="s">
        <v>80</v>
      </c>
      <c r="M404" s="722"/>
      <c r="N404" s="723"/>
      <c r="O404" s="724"/>
      <c r="P404" s="722"/>
      <c r="Q404" s="725"/>
      <c r="T404" s="771" t="s">
        <v>5</v>
      </c>
      <c r="U404" s="721" t="s">
        <v>80</v>
      </c>
      <c r="V404" s="722"/>
      <c r="W404" s="723"/>
      <c r="X404" s="723"/>
      <c r="Y404" s="724"/>
      <c r="Z404" s="722"/>
      <c r="AA404" s="722"/>
      <c r="AB404" s="725"/>
      <c r="AC404" s="183"/>
      <c r="AD404" s="547"/>
      <c r="AG404" s="547"/>
      <c r="AH404" s="547"/>
      <c r="AI404" s="547"/>
      <c r="AJ404" s="547"/>
      <c r="AK404" s="547"/>
      <c r="AL404" s="183"/>
    </row>
    <row r="405" spans="2:38" x14ac:dyDescent="0.25">
      <c r="B405" s="930"/>
      <c r="C405" s="932" t="s">
        <v>81</v>
      </c>
      <c r="D405" s="929" t="s">
        <v>173</v>
      </c>
      <c r="E405" s="874" t="s">
        <v>118</v>
      </c>
      <c r="F405" s="937"/>
      <c r="G405" s="26" t="s">
        <v>3</v>
      </c>
      <c r="H405" s="23" t="s">
        <v>4</v>
      </c>
      <c r="K405" s="930"/>
      <c r="L405" s="5" t="s">
        <v>81</v>
      </c>
      <c r="M405" s="929" t="s">
        <v>173</v>
      </c>
      <c r="N405" s="874" t="s">
        <v>118</v>
      </c>
      <c r="O405" s="937"/>
      <c r="P405" s="26" t="s">
        <v>3</v>
      </c>
      <c r="Q405" s="23" t="s">
        <v>4</v>
      </c>
      <c r="T405" s="934"/>
      <c r="U405" s="932" t="s">
        <v>81</v>
      </c>
      <c r="V405" s="929" t="s">
        <v>173</v>
      </c>
      <c r="W405" s="874" t="s">
        <v>118</v>
      </c>
      <c r="X405" s="937"/>
      <c r="Y405" s="874" t="s">
        <v>3</v>
      </c>
      <c r="Z405" s="939"/>
      <c r="AA405" s="940" t="s">
        <v>4</v>
      </c>
      <c r="AB405" s="940"/>
      <c r="AC405" s="183"/>
      <c r="AD405" s="547"/>
      <c r="AG405" s="547"/>
      <c r="AH405" s="547"/>
      <c r="AI405" s="547"/>
      <c r="AJ405" s="547"/>
      <c r="AK405" s="547"/>
      <c r="AL405" s="183"/>
    </row>
    <row r="406" spans="2:38" x14ac:dyDescent="0.25">
      <c r="B406" s="931"/>
      <c r="C406" s="931"/>
      <c r="D406" s="936"/>
      <c r="E406" s="875"/>
      <c r="F406" s="938"/>
      <c r="G406" s="27" t="s">
        <v>7</v>
      </c>
      <c r="H406" s="24" t="s">
        <v>7</v>
      </c>
      <c r="K406" s="931"/>
      <c r="L406" s="8"/>
      <c r="M406" s="936"/>
      <c r="N406" s="875"/>
      <c r="O406" s="938"/>
      <c r="P406" s="27" t="s">
        <v>7</v>
      </c>
      <c r="Q406" s="24" t="s">
        <v>7</v>
      </c>
      <c r="T406" s="935"/>
      <c r="U406" s="931"/>
      <c r="V406" s="936"/>
      <c r="W406" s="875"/>
      <c r="X406" s="938"/>
      <c r="Y406" s="40" t="s">
        <v>196</v>
      </c>
      <c r="Z406" s="40" t="s">
        <v>7</v>
      </c>
      <c r="AA406" s="40" t="s">
        <v>196</v>
      </c>
      <c r="AB406" s="40" t="s">
        <v>7</v>
      </c>
      <c r="AC406" s="183"/>
      <c r="AD406" s="547"/>
      <c r="AG406" s="547"/>
      <c r="AH406" s="547"/>
      <c r="AI406" s="547"/>
      <c r="AJ406" s="547"/>
      <c r="AK406" s="547"/>
      <c r="AL406" s="183"/>
    </row>
    <row r="407" spans="2:38" x14ac:dyDescent="0.25">
      <c r="B407" s="11">
        <v>1</v>
      </c>
      <c r="C407" s="11">
        <v>2</v>
      </c>
      <c r="D407" s="11" t="s">
        <v>111</v>
      </c>
      <c r="E407" s="735" t="s">
        <v>115</v>
      </c>
      <c r="F407" s="736"/>
      <c r="G407" s="11" t="s">
        <v>116</v>
      </c>
      <c r="H407" s="22" t="s">
        <v>117</v>
      </c>
      <c r="K407" s="11">
        <v>1</v>
      </c>
      <c r="L407" s="11">
        <v>2</v>
      </c>
      <c r="M407" s="11" t="s">
        <v>111</v>
      </c>
      <c r="N407" s="735" t="s">
        <v>115</v>
      </c>
      <c r="O407" s="736"/>
      <c r="P407" s="11" t="s">
        <v>116</v>
      </c>
      <c r="Q407" s="22" t="s">
        <v>117</v>
      </c>
      <c r="T407" s="11">
        <v>1</v>
      </c>
      <c r="U407" s="11">
        <v>2</v>
      </c>
      <c r="V407" s="11" t="s">
        <v>111</v>
      </c>
      <c r="W407" s="944" t="s">
        <v>115</v>
      </c>
      <c r="X407" s="945"/>
      <c r="Y407" s="11" t="s">
        <v>201</v>
      </c>
      <c r="Z407" s="11" t="s">
        <v>116</v>
      </c>
      <c r="AA407" s="11" t="s">
        <v>200</v>
      </c>
      <c r="AB407" s="22" t="s">
        <v>117</v>
      </c>
      <c r="AC407" s="183"/>
      <c r="AD407" s="547"/>
      <c r="AG407" s="547"/>
      <c r="AH407" s="547"/>
      <c r="AI407" s="547"/>
      <c r="AJ407" s="547"/>
      <c r="AK407" s="547"/>
      <c r="AL407" s="183"/>
    </row>
    <row r="408" spans="2:38" x14ac:dyDescent="0.25">
      <c r="B408" s="12" t="s">
        <v>82</v>
      </c>
      <c r="C408" s="13" t="s">
        <v>127</v>
      </c>
      <c r="D408" s="13" t="s">
        <v>83</v>
      </c>
      <c r="E408" s="732" t="s">
        <v>120</v>
      </c>
      <c r="F408" s="733"/>
      <c r="G408" s="172">
        <f>'Kalkulace a Porovnání'!G408</f>
        <v>0</v>
      </c>
      <c r="H408" s="172">
        <f>'Kalkulace a Porovnání'!H408</f>
        <v>0</v>
      </c>
      <c r="K408" s="12" t="s">
        <v>82</v>
      </c>
      <c r="L408" s="13" t="s">
        <v>127</v>
      </c>
      <c r="M408" s="13" t="s">
        <v>83</v>
      </c>
      <c r="N408" s="732" t="s">
        <v>120</v>
      </c>
      <c r="O408" s="733"/>
      <c r="P408" s="172">
        <f>'Kalkulace a Porovnání'!P408</f>
        <v>0</v>
      </c>
      <c r="Q408" s="172">
        <f>'Kalkulace a Porovnání'!Q408</f>
        <v>0</v>
      </c>
      <c r="T408" s="12" t="s">
        <v>82</v>
      </c>
      <c r="U408" s="13" t="s">
        <v>127</v>
      </c>
      <c r="V408" s="13" t="s">
        <v>83</v>
      </c>
      <c r="W408" s="13" t="s">
        <v>120</v>
      </c>
      <c r="X408" s="101"/>
      <c r="Y408" s="172">
        <f>'Kalkulace a Porovnání'!Y408</f>
        <v>0</v>
      </c>
      <c r="Z408" s="172">
        <f>'Kalkulace a Porovnání'!Z408</f>
        <v>0</v>
      </c>
      <c r="AA408" s="172">
        <f>'Kalkulace a Porovnání'!AA408</f>
        <v>0</v>
      </c>
      <c r="AB408" s="172">
        <f>'Kalkulace a Porovnání'!AB408</f>
        <v>0</v>
      </c>
      <c r="AC408" s="183"/>
      <c r="AD408" s="547"/>
      <c r="AG408" s="547"/>
      <c r="AH408" s="547"/>
      <c r="AI408" s="547"/>
      <c r="AJ408" s="547"/>
      <c r="AK408" s="547"/>
      <c r="AL408" s="183"/>
    </row>
    <row r="409" spans="2:38" x14ac:dyDescent="0.25">
      <c r="B409" s="12" t="s">
        <v>84</v>
      </c>
      <c r="C409" s="13" t="s">
        <v>85</v>
      </c>
      <c r="D409" s="13" t="s">
        <v>10</v>
      </c>
      <c r="E409" s="732" t="s">
        <v>121</v>
      </c>
      <c r="F409" s="733"/>
      <c r="G409" s="449">
        <f>'Kalkulace a Porovnání'!G409</f>
        <v>0</v>
      </c>
      <c r="H409" s="449">
        <f>'Kalkulace a Porovnání'!H409</f>
        <v>0</v>
      </c>
      <c r="K409" s="12" t="s">
        <v>84</v>
      </c>
      <c r="L409" s="13" t="s">
        <v>85</v>
      </c>
      <c r="M409" s="13" t="s">
        <v>10</v>
      </c>
      <c r="N409" s="732" t="s">
        <v>121</v>
      </c>
      <c r="O409" s="733"/>
      <c r="P409" s="449">
        <f>'Kalkulace a Porovnání'!P409</f>
        <v>0</v>
      </c>
      <c r="Q409" s="449">
        <f>'Kalkulace a Porovnání'!Q409</f>
        <v>0</v>
      </c>
      <c r="T409" s="12" t="s">
        <v>84</v>
      </c>
      <c r="U409" s="13" t="s">
        <v>85</v>
      </c>
      <c r="V409" s="13" t="s">
        <v>10</v>
      </c>
      <c r="W409" s="13" t="s">
        <v>121</v>
      </c>
      <c r="X409" s="101"/>
      <c r="Y409" s="449">
        <f>'Kalkulace a Porovnání'!Y409</f>
        <v>0</v>
      </c>
      <c r="Z409" s="449">
        <f>'Kalkulace a Porovnání'!Z409</f>
        <v>0</v>
      </c>
      <c r="AA409" s="449">
        <f>'Kalkulace a Porovnání'!AA409</f>
        <v>0</v>
      </c>
      <c r="AB409" s="449">
        <f>'Kalkulace a Porovnání'!AB409</f>
        <v>0</v>
      </c>
      <c r="AC409" s="183"/>
      <c r="AD409" s="547"/>
      <c r="AG409" s="547"/>
      <c r="AH409" s="547"/>
      <c r="AI409" s="547"/>
      <c r="AJ409" s="547"/>
      <c r="AK409" s="547"/>
      <c r="AL409" s="183"/>
    </row>
    <row r="410" spans="2:38" x14ac:dyDescent="0.25">
      <c r="B410" s="12" t="s">
        <v>86</v>
      </c>
      <c r="C410" s="13" t="s">
        <v>87</v>
      </c>
      <c r="D410" s="13" t="s">
        <v>10</v>
      </c>
      <c r="E410" s="732"/>
      <c r="F410" s="733"/>
      <c r="G410" s="449">
        <f>'Kalkulace a Porovnání'!G410</f>
        <v>0</v>
      </c>
      <c r="H410" s="449">
        <f>'Kalkulace a Porovnání'!H410</f>
        <v>0</v>
      </c>
      <c r="K410" s="12" t="s">
        <v>86</v>
      </c>
      <c r="L410" s="13" t="s">
        <v>87</v>
      </c>
      <c r="M410" s="13" t="s">
        <v>10</v>
      </c>
      <c r="N410" s="732"/>
      <c r="O410" s="733"/>
      <c r="P410" s="449">
        <f>'Kalkulace a Porovnání'!P410</f>
        <v>0</v>
      </c>
      <c r="Q410" s="449">
        <f>'Kalkulace a Porovnání'!Q410</f>
        <v>0</v>
      </c>
      <c r="T410" s="12" t="s">
        <v>86</v>
      </c>
      <c r="U410" s="13" t="s">
        <v>87</v>
      </c>
      <c r="V410" s="13" t="s">
        <v>10</v>
      </c>
      <c r="W410" s="13"/>
      <c r="X410" s="101"/>
      <c r="Y410" s="449">
        <f>'Kalkulace a Porovnání'!Y410</f>
        <v>0</v>
      </c>
      <c r="Z410" s="449">
        <f>'Kalkulace a Porovnání'!Z410</f>
        <v>0</v>
      </c>
      <c r="AA410" s="449">
        <f>'Kalkulace a Porovnání'!AA410</f>
        <v>0</v>
      </c>
      <c r="AB410" s="449">
        <f>'Kalkulace a Porovnání'!AB410</f>
        <v>0</v>
      </c>
      <c r="AC410" s="183"/>
      <c r="AD410" s="547"/>
      <c r="AG410" s="547"/>
      <c r="AH410" s="547"/>
      <c r="AI410" s="547"/>
      <c r="AJ410" s="547"/>
      <c r="AK410" s="547"/>
      <c r="AL410" s="183"/>
    </row>
    <row r="411" spans="2:38" x14ac:dyDescent="0.25">
      <c r="B411" s="12" t="s">
        <v>88</v>
      </c>
      <c r="C411" s="21" t="s">
        <v>89</v>
      </c>
      <c r="D411" s="13" t="s">
        <v>90</v>
      </c>
      <c r="E411" s="732" t="s">
        <v>123</v>
      </c>
      <c r="F411" s="733"/>
      <c r="G411" s="172">
        <f>'Kalkulace a Porovnání'!G411</f>
        <v>0</v>
      </c>
      <c r="H411" s="172">
        <f>'Kalkulace a Porovnání'!H411</f>
        <v>0</v>
      </c>
      <c r="K411" s="12" t="s">
        <v>88</v>
      </c>
      <c r="L411" s="21" t="s">
        <v>89</v>
      </c>
      <c r="M411" s="13" t="s">
        <v>90</v>
      </c>
      <c r="N411" s="732" t="s">
        <v>123</v>
      </c>
      <c r="O411" s="733"/>
      <c r="P411" s="172">
        <f>'Kalkulace a Porovnání'!P411</f>
        <v>0</v>
      </c>
      <c r="Q411" s="172">
        <f>'Kalkulace a Porovnání'!Q411</f>
        <v>0</v>
      </c>
      <c r="T411" s="12" t="s">
        <v>88</v>
      </c>
      <c r="U411" s="21" t="s">
        <v>89</v>
      </c>
      <c r="V411" s="13" t="s">
        <v>90</v>
      </c>
      <c r="W411" s="13" t="s">
        <v>123</v>
      </c>
      <c r="X411" s="101"/>
      <c r="Y411" s="172">
        <f>'Kalkulace a Porovnání'!Y411</f>
        <v>0</v>
      </c>
      <c r="Z411" s="172">
        <f>'Kalkulace a Porovnání'!Z411</f>
        <v>0</v>
      </c>
      <c r="AA411" s="172">
        <f>'Kalkulace a Porovnání'!AA411</f>
        <v>0</v>
      </c>
      <c r="AB411" s="172">
        <f>'Kalkulace a Porovnání'!AB411</f>
        <v>0</v>
      </c>
      <c r="AC411" s="183"/>
      <c r="AD411" s="547"/>
      <c r="AG411" s="547"/>
      <c r="AH411" s="547"/>
      <c r="AI411" s="547"/>
      <c r="AJ411" s="547"/>
      <c r="AK411" s="547"/>
      <c r="AL411" s="183"/>
    </row>
    <row r="412" spans="2:38" x14ac:dyDescent="0.25">
      <c r="B412" s="12" t="s">
        <v>91</v>
      </c>
      <c r="C412" s="21" t="s">
        <v>92</v>
      </c>
      <c r="D412" s="13" t="s">
        <v>10</v>
      </c>
      <c r="E412" s="732"/>
      <c r="F412" s="733"/>
      <c r="G412" s="449">
        <f>'Kalkulace a Porovnání'!G412</f>
        <v>0</v>
      </c>
      <c r="H412" s="449">
        <f>'Kalkulace a Porovnání'!H412</f>
        <v>0</v>
      </c>
      <c r="K412" s="12" t="s">
        <v>91</v>
      </c>
      <c r="L412" s="21" t="s">
        <v>92</v>
      </c>
      <c r="M412" s="13" t="s">
        <v>10</v>
      </c>
      <c r="N412" s="732"/>
      <c r="O412" s="733"/>
      <c r="P412" s="449">
        <f>'Kalkulace a Porovnání'!P412</f>
        <v>0</v>
      </c>
      <c r="Q412" s="449">
        <f>'Kalkulace a Porovnání'!Q412</f>
        <v>0</v>
      </c>
      <c r="T412" s="12" t="s">
        <v>91</v>
      </c>
      <c r="U412" s="21" t="s">
        <v>92</v>
      </c>
      <c r="V412" s="13" t="s">
        <v>10</v>
      </c>
      <c r="W412" s="13"/>
      <c r="X412" s="101"/>
      <c r="Y412" s="449">
        <f>'Kalkulace a Porovnání'!Y412</f>
        <v>0</v>
      </c>
      <c r="Z412" s="449">
        <f>'Kalkulace a Porovnání'!Z412</f>
        <v>0</v>
      </c>
      <c r="AA412" s="449">
        <f>'Kalkulace a Porovnání'!AA412</f>
        <v>0</v>
      </c>
      <c r="AB412" s="449">
        <f>'Kalkulace a Porovnání'!AB412</f>
        <v>0</v>
      </c>
      <c r="AC412" s="183"/>
      <c r="AD412" s="547"/>
      <c r="AG412" s="547"/>
      <c r="AH412" s="547"/>
      <c r="AI412" s="547"/>
      <c r="AJ412" s="547"/>
      <c r="AK412" s="547"/>
      <c r="AL412" s="183"/>
    </row>
    <row r="413" spans="2:38" x14ac:dyDescent="0.25">
      <c r="B413" s="12" t="s">
        <v>93</v>
      </c>
      <c r="C413" s="13" t="s">
        <v>94</v>
      </c>
      <c r="D413" s="13" t="s">
        <v>10</v>
      </c>
      <c r="E413" s="732" t="s">
        <v>122</v>
      </c>
      <c r="F413" s="733"/>
      <c r="G413" s="449">
        <f>'Kalkulace a Porovnání'!G413</f>
        <v>0</v>
      </c>
      <c r="H413" s="449">
        <f>'Kalkulace a Porovnání'!H413</f>
        <v>0</v>
      </c>
      <c r="K413" s="12" t="s">
        <v>93</v>
      </c>
      <c r="L413" s="13" t="s">
        <v>94</v>
      </c>
      <c r="M413" s="13" t="s">
        <v>10</v>
      </c>
      <c r="N413" s="732" t="s">
        <v>122</v>
      </c>
      <c r="O413" s="733"/>
      <c r="P413" s="449">
        <f>'Kalkulace a Porovnání'!P413</f>
        <v>0</v>
      </c>
      <c r="Q413" s="449">
        <f>'Kalkulace a Porovnání'!Q413</f>
        <v>0</v>
      </c>
      <c r="T413" s="12" t="s">
        <v>93</v>
      </c>
      <c r="U413" s="13" t="s">
        <v>94</v>
      </c>
      <c r="V413" s="13" t="s">
        <v>10</v>
      </c>
      <c r="W413" s="13" t="s">
        <v>122</v>
      </c>
      <c r="X413" s="101"/>
      <c r="Y413" s="449">
        <f>'Kalkulace a Porovnání'!Y413</f>
        <v>0</v>
      </c>
      <c r="Z413" s="449">
        <f>'Kalkulace a Porovnání'!Z413</f>
        <v>0</v>
      </c>
      <c r="AA413" s="449">
        <f>'Kalkulace a Porovnání'!AA413</f>
        <v>0</v>
      </c>
      <c r="AB413" s="449">
        <f>'Kalkulace a Porovnání'!AB413</f>
        <v>0</v>
      </c>
      <c r="AC413" s="183"/>
      <c r="AD413" s="547"/>
      <c r="AG413" s="547"/>
      <c r="AH413" s="547"/>
      <c r="AI413" s="547"/>
      <c r="AJ413" s="547"/>
      <c r="AK413" s="547"/>
      <c r="AL413" s="183"/>
    </row>
    <row r="414" spans="2:38" x14ac:dyDescent="0.25">
      <c r="B414" s="12" t="s">
        <v>95</v>
      </c>
      <c r="C414" s="13" t="s">
        <v>96</v>
      </c>
      <c r="D414" s="13" t="s">
        <v>66</v>
      </c>
      <c r="E414" s="732" t="s">
        <v>124</v>
      </c>
      <c r="F414" s="733"/>
      <c r="G414" s="449">
        <f>'Kalkulace a Porovnání'!G414</f>
        <v>0</v>
      </c>
      <c r="H414" s="449">
        <f>'Kalkulace a Porovnání'!H414</f>
        <v>0</v>
      </c>
      <c r="K414" s="12" t="s">
        <v>95</v>
      </c>
      <c r="L414" s="13" t="s">
        <v>96</v>
      </c>
      <c r="M414" s="13" t="s">
        <v>66</v>
      </c>
      <c r="N414" s="732" t="s">
        <v>124</v>
      </c>
      <c r="O414" s="733"/>
      <c r="P414" s="449">
        <f>'Kalkulace a Porovnání'!P414</f>
        <v>0</v>
      </c>
      <c r="Q414" s="449">
        <f>'Kalkulace a Porovnání'!Q414</f>
        <v>0</v>
      </c>
      <c r="T414" s="12" t="s">
        <v>95</v>
      </c>
      <c r="U414" s="13" t="s">
        <v>96</v>
      </c>
      <c r="V414" s="13" t="s">
        <v>66</v>
      </c>
      <c r="W414" s="13" t="s">
        <v>124</v>
      </c>
      <c r="X414" s="101"/>
      <c r="Y414" s="449">
        <f>'Kalkulace a Porovnání'!Y414</f>
        <v>0</v>
      </c>
      <c r="Z414" s="449">
        <f>'Kalkulace a Porovnání'!Z414</f>
        <v>0</v>
      </c>
      <c r="AA414" s="449">
        <f>'Kalkulace a Porovnání'!AA414</f>
        <v>0</v>
      </c>
      <c r="AB414" s="449">
        <f>'Kalkulace a Porovnání'!AB414</f>
        <v>0</v>
      </c>
      <c r="AC414" s="183"/>
      <c r="AD414" s="547"/>
      <c r="AG414" s="547"/>
      <c r="AH414" s="547"/>
      <c r="AI414" s="547"/>
      <c r="AJ414" s="547"/>
      <c r="AK414" s="547"/>
      <c r="AL414" s="183"/>
    </row>
    <row r="415" spans="2:38" x14ac:dyDescent="0.25">
      <c r="B415" s="12" t="s">
        <v>97</v>
      </c>
      <c r="C415" s="13" t="s">
        <v>98</v>
      </c>
      <c r="D415" s="13" t="s">
        <v>83</v>
      </c>
      <c r="E415" s="732" t="s">
        <v>125</v>
      </c>
      <c r="F415" s="733"/>
      <c r="G415" s="172">
        <f>'Kalkulace a Porovnání'!G415</f>
        <v>0</v>
      </c>
      <c r="H415" s="172">
        <f>'Kalkulace a Porovnání'!H415</f>
        <v>0</v>
      </c>
      <c r="K415" s="12" t="s">
        <v>97</v>
      </c>
      <c r="L415" s="13" t="s">
        <v>98</v>
      </c>
      <c r="M415" s="13" t="s">
        <v>83</v>
      </c>
      <c r="N415" s="732" t="s">
        <v>125</v>
      </c>
      <c r="O415" s="733"/>
      <c r="P415" s="172">
        <f>'Kalkulace a Porovnání'!P415</f>
        <v>0</v>
      </c>
      <c r="Q415" s="172">
        <f>'Kalkulace a Porovnání'!Q415</f>
        <v>0</v>
      </c>
      <c r="T415" s="12" t="s">
        <v>97</v>
      </c>
      <c r="U415" s="13" t="s">
        <v>98</v>
      </c>
      <c r="V415" s="13" t="s">
        <v>83</v>
      </c>
      <c r="W415" s="13" t="s">
        <v>125</v>
      </c>
      <c r="X415" s="101"/>
      <c r="Y415" s="172">
        <f>'Kalkulace a Porovnání'!Y415</f>
        <v>0</v>
      </c>
      <c r="Z415" s="172">
        <f>'Kalkulace a Porovnání'!Z415</f>
        <v>0</v>
      </c>
      <c r="AA415" s="172">
        <f>'Kalkulace a Porovnání'!AA415</f>
        <v>0</v>
      </c>
      <c r="AB415" s="172">
        <f>'Kalkulace a Porovnání'!AB415</f>
        <v>0</v>
      </c>
      <c r="AC415" s="183"/>
      <c r="AD415" s="547"/>
      <c r="AG415" s="547"/>
      <c r="AH415" s="547"/>
      <c r="AI415" s="547"/>
      <c r="AJ415" s="547"/>
      <c r="AK415" s="547"/>
      <c r="AL415" s="183"/>
    </row>
    <row r="416" spans="2:38" x14ac:dyDescent="0.25">
      <c r="B416" s="12" t="s">
        <v>99</v>
      </c>
      <c r="C416" s="13" t="str">
        <f>CONCATENATE("CENA pro vodné, stočné + ",Provozování!E444*100,"% DPH")</f>
        <v>CENA pro vodné, stočné + 0% DPH</v>
      </c>
      <c r="D416" s="13" t="s">
        <v>83</v>
      </c>
      <c r="E416" s="732" t="s">
        <v>126</v>
      </c>
      <c r="F416" s="733"/>
      <c r="G416" s="172">
        <f>'Kalkulace a Porovnání'!G416</f>
        <v>0</v>
      </c>
      <c r="H416" s="172">
        <f>'Kalkulace a Porovnání'!H416</f>
        <v>0</v>
      </c>
      <c r="K416" s="12" t="s">
        <v>99</v>
      </c>
      <c r="L416" s="13" t="str">
        <f>C416</f>
        <v>CENA pro vodné, stočné + 0% DPH</v>
      </c>
      <c r="M416" s="13" t="s">
        <v>83</v>
      </c>
      <c r="N416" s="732" t="s">
        <v>126</v>
      </c>
      <c r="O416" s="733"/>
      <c r="P416" s="172">
        <f>'Kalkulace a Porovnání'!P416</f>
        <v>0</v>
      </c>
      <c r="Q416" s="172">
        <f>'Kalkulace a Porovnání'!Q416</f>
        <v>0</v>
      </c>
      <c r="T416" s="12" t="s">
        <v>99</v>
      </c>
      <c r="U416" s="13" t="str">
        <f>C416</f>
        <v>CENA pro vodné, stočné + 0% DPH</v>
      </c>
      <c r="V416" s="13" t="s">
        <v>83</v>
      </c>
      <c r="W416" s="13" t="s">
        <v>126</v>
      </c>
      <c r="X416" s="101"/>
      <c r="Y416" s="172">
        <f>'Kalkulace a Porovnání'!Y416</f>
        <v>0</v>
      </c>
      <c r="Z416" s="172">
        <f>'Kalkulace a Porovnání'!Z416</f>
        <v>0</v>
      </c>
      <c r="AA416" s="172">
        <f>'Kalkulace a Porovnání'!AA416</f>
        <v>0</v>
      </c>
      <c r="AB416" s="172">
        <f>'Kalkulace a Porovnání'!AB416</f>
        <v>0</v>
      </c>
      <c r="AC416" s="183"/>
      <c r="AD416" s="547"/>
      <c r="AG416" s="547"/>
      <c r="AH416" s="547"/>
      <c r="AI416" s="547"/>
      <c r="AJ416" s="547"/>
      <c r="AK416" s="547"/>
      <c r="AL416" s="183"/>
    </row>
    <row r="417" spans="2:38" x14ac:dyDescent="0.25"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T417" s="967" t="s">
        <v>203</v>
      </c>
      <c r="U417" s="967" t="s">
        <v>202</v>
      </c>
      <c r="V417" s="968" t="s">
        <v>10</v>
      </c>
      <c r="W417" s="919" t="s">
        <v>204</v>
      </c>
      <c r="X417" s="732"/>
      <c r="Y417" s="102" t="s">
        <v>206</v>
      </c>
      <c r="Z417" s="105" t="s">
        <v>207</v>
      </c>
      <c r="AA417" s="102" t="s">
        <v>206</v>
      </c>
      <c r="AB417" s="105" t="s">
        <v>207</v>
      </c>
      <c r="AC417" s="183"/>
      <c r="AD417" s="547"/>
      <c r="AG417" s="547"/>
      <c r="AH417" s="547"/>
      <c r="AI417" s="547"/>
      <c r="AJ417" s="547"/>
      <c r="AK417" s="547"/>
      <c r="AL417" s="183"/>
    </row>
    <row r="418" spans="2:38" x14ac:dyDescent="0.25">
      <c r="B418" s="500"/>
      <c r="C418" s="499"/>
      <c r="D418" s="499"/>
      <c r="E418" s="499"/>
      <c r="F418" s="499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T418" s="967"/>
      <c r="U418" s="967"/>
      <c r="V418" s="968"/>
      <c r="W418" s="969">
        <f>'Kalkulace a Porovnání'!W418</f>
        <v>0</v>
      </c>
      <c r="X418" s="970"/>
      <c r="Y418" s="103">
        <f>'Kalkulace a Porovnání'!Y418</f>
        <v>2025</v>
      </c>
      <c r="Z418" s="103">
        <f>'Kalkulace a Porovnání'!Z418</f>
        <v>2025</v>
      </c>
      <c r="AA418" s="103">
        <f>'Kalkulace a Porovnání'!AA418</f>
        <v>2025</v>
      </c>
      <c r="AB418" s="103">
        <f>'Kalkulace a Porovnání'!AB418</f>
        <v>2025</v>
      </c>
      <c r="AC418" s="183"/>
      <c r="AD418" s="547"/>
      <c r="AG418" s="547"/>
      <c r="AH418" s="547"/>
      <c r="AI418" s="547"/>
      <c r="AJ418" s="547"/>
      <c r="AK418" s="547"/>
      <c r="AL418" s="183"/>
    </row>
    <row r="419" spans="2:38" x14ac:dyDescent="0.25">
      <c r="B419" s="500"/>
      <c r="C419" s="499"/>
      <c r="D419" s="499"/>
      <c r="E419" s="499"/>
      <c r="F419" s="499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T419" s="967"/>
      <c r="U419" s="967"/>
      <c r="V419" s="968"/>
      <c r="W419" s="919" t="s">
        <v>205</v>
      </c>
      <c r="X419" s="732"/>
      <c r="Y419" s="104" t="s">
        <v>208</v>
      </c>
      <c r="Z419" s="104" t="s">
        <v>208</v>
      </c>
      <c r="AA419" s="104" t="s">
        <v>209</v>
      </c>
      <c r="AB419" s="104" t="s">
        <v>209</v>
      </c>
      <c r="AC419" s="183"/>
      <c r="AD419" s="547"/>
      <c r="AG419" s="547"/>
      <c r="AH419" s="547"/>
      <c r="AI419" s="547"/>
      <c r="AJ419" s="547"/>
      <c r="AK419" s="547"/>
      <c r="AL419" s="183"/>
    </row>
    <row r="420" spans="2:38" x14ac:dyDescent="0.25">
      <c r="B420" s="499"/>
      <c r="C420" s="499"/>
      <c r="D420" s="499"/>
      <c r="E420" s="499"/>
      <c r="F420" s="499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T420" s="967"/>
      <c r="U420" s="967"/>
      <c r="V420" s="968"/>
      <c r="W420" s="971">
        <f>'Kalkulace a Porovnání'!W420</f>
        <v>0</v>
      </c>
      <c r="X420" s="971"/>
      <c r="Y420" s="449">
        <f>'Kalkulace a Porovnání'!Y420</f>
        <v>0</v>
      </c>
      <c r="Z420" s="449">
        <f>'Kalkulace a Porovnání'!Z420</f>
        <v>0</v>
      </c>
      <c r="AA420" s="449">
        <f>'Kalkulace a Porovnání'!AA420</f>
        <v>0</v>
      </c>
      <c r="AB420" s="449">
        <f>'Kalkulace a Porovnání'!AB420</f>
        <v>0</v>
      </c>
      <c r="AC420" s="183"/>
      <c r="AD420" s="547"/>
      <c r="AG420" s="547"/>
      <c r="AH420" s="547"/>
      <c r="AI420" s="547"/>
      <c r="AJ420" s="547"/>
      <c r="AK420" s="547"/>
      <c r="AL420" s="183"/>
    </row>
    <row r="421" spans="2:38" x14ac:dyDescent="0.25">
      <c r="B421" s="31"/>
      <c r="AC421" s="183"/>
      <c r="AD421" s="547"/>
      <c r="AG421" s="547"/>
      <c r="AH421" s="547"/>
      <c r="AI421" s="547"/>
      <c r="AJ421" s="547"/>
      <c r="AK421" s="547"/>
      <c r="AL421" s="183"/>
    </row>
    <row r="422" spans="2:38" x14ac:dyDescent="0.25">
      <c r="B422" s="726" t="s">
        <v>393</v>
      </c>
      <c r="C422" s="727"/>
      <c r="D422" s="727"/>
      <c r="E422" s="727"/>
      <c r="F422" s="727"/>
      <c r="G422" s="727"/>
      <c r="H422" s="727"/>
      <c r="K422" s="726" t="s">
        <v>394</v>
      </c>
      <c r="L422" s="727"/>
      <c r="M422" s="727"/>
      <c r="N422" s="727"/>
      <c r="O422" s="727"/>
      <c r="P422" s="727"/>
      <c r="Q422" s="727"/>
      <c r="T422" s="726" t="s">
        <v>210</v>
      </c>
      <c r="U422" s="727"/>
      <c r="V422" s="727"/>
      <c r="W422" s="727"/>
      <c r="X422" s="727"/>
      <c r="Y422" s="727"/>
      <c r="Z422" s="727"/>
      <c r="AA422" s="727"/>
      <c r="AB422" s="727"/>
      <c r="AC422" s="183"/>
      <c r="AD422" s="547"/>
      <c r="AG422" s="547"/>
      <c r="AH422" s="547"/>
      <c r="AI422" s="547"/>
      <c r="AJ422" s="547"/>
      <c r="AK422" s="547"/>
      <c r="AL422" s="183"/>
    </row>
    <row r="423" spans="2:38" x14ac:dyDescent="0.25">
      <c r="C423" s="362"/>
      <c r="E423" s="25"/>
      <c r="F423" s="25"/>
      <c r="L423" s="25"/>
      <c r="N423" s="25"/>
      <c r="T423" s="950" t="s">
        <v>395</v>
      </c>
      <c r="U423" s="950"/>
      <c r="V423" s="950"/>
      <c r="W423" s="950"/>
      <c r="X423" s="950"/>
      <c r="Y423" s="950"/>
      <c r="Z423" s="950"/>
      <c r="AA423" s="950"/>
      <c r="AB423" s="950"/>
      <c r="AC423" s="183"/>
      <c r="AD423" s="547"/>
      <c r="AG423" s="547"/>
      <c r="AH423" s="547"/>
      <c r="AI423" s="547"/>
      <c r="AJ423" s="547"/>
      <c r="AK423" s="547"/>
      <c r="AL423" s="183"/>
    </row>
    <row r="424" spans="2:38" x14ac:dyDescent="0.25">
      <c r="C424" s="362" t="s">
        <v>119</v>
      </c>
      <c r="D424" s="364">
        <f>'Kalkulace a Porovnání'!D424</f>
        <v>2026</v>
      </c>
      <c r="E424" s="25"/>
      <c r="F424" s="362" t="s">
        <v>278</v>
      </c>
      <c r="G424" s="365" t="str">
        <f>'Kalkulace a Porovnání'!G424</f>
        <v>-</v>
      </c>
      <c r="H424" s="365" t="str">
        <f>'Kalkulace a Porovnání'!H424</f>
        <v xml:space="preserve"> </v>
      </c>
      <c r="L424" s="362" t="s">
        <v>119</v>
      </c>
      <c r="M424" s="364">
        <f>'Kalkulace a Porovnání'!M424</f>
        <v>2026</v>
      </c>
      <c r="O424" s="362" t="s">
        <v>278</v>
      </c>
      <c r="P424" s="365" t="str">
        <f>'Kalkulace a Porovnání'!P424</f>
        <v>-</v>
      </c>
      <c r="Q424" s="365" t="str">
        <f>'Kalkulace a Porovnání'!Q424</f>
        <v xml:space="preserve"> </v>
      </c>
      <c r="T424" s="441"/>
      <c r="U424" s="441"/>
      <c r="V424" s="451" t="s">
        <v>195</v>
      </c>
      <c r="W424" s="364">
        <f>'Kalkulace a Porovnání'!W424</f>
        <v>2026</v>
      </c>
      <c r="Z424" s="362" t="s">
        <v>278</v>
      </c>
      <c r="AA424" s="365" t="str">
        <f>'Kalkulace a Porovnání'!AA424</f>
        <v>-</v>
      </c>
      <c r="AB424" s="365" t="str">
        <f>'Kalkulace a Porovnání'!AB424</f>
        <v xml:space="preserve"> </v>
      </c>
      <c r="AC424" s="183"/>
      <c r="AD424" s="547"/>
      <c r="AG424" s="547"/>
      <c r="AH424" s="547"/>
      <c r="AI424" s="547"/>
      <c r="AJ424" s="547"/>
      <c r="AK424" s="547"/>
      <c r="AL424" s="183"/>
    </row>
    <row r="425" spans="2:38" x14ac:dyDescent="0.25">
      <c r="B425" s="13" t="s">
        <v>74</v>
      </c>
      <c r="C425" s="13" t="s">
        <v>105</v>
      </c>
      <c r="D425" s="941" t="str">
        <f>'Kalkulace a Porovnání'!D425</f>
        <v/>
      </c>
      <c r="E425" s="942"/>
      <c r="F425" s="942"/>
      <c r="G425" s="942"/>
      <c r="H425" s="943"/>
      <c r="K425" s="13" t="s">
        <v>74</v>
      </c>
      <c r="L425" s="13" t="s">
        <v>105</v>
      </c>
      <c r="M425" s="941" t="str">
        <f>'Kalkulace a Porovnání'!M425</f>
        <v/>
      </c>
      <c r="N425" s="942"/>
      <c r="O425" s="942"/>
      <c r="P425" s="942"/>
      <c r="Q425" s="943"/>
      <c r="T425" s="13" t="s">
        <v>74</v>
      </c>
      <c r="U425" s="13" t="s">
        <v>105</v>
      </c>
      <c r="V425" s="949" t="str">
        <f>'Kalkulace a Porovnání'!V425</f>
        <v/>
      </c>
      <c r="W425" s="738"/>
      <c r="X425" s="738"/>
      <c r="Y425" s="738"/>
      <c r="Z425" s="738"/>
      <c r="AA425" s="738"/>
      <c r="AB425" s="738"/>
      <c r="AC425" s="183"/>
      <c r="AD425" s="547"/>
      <c r="AG425" s="342"/>
      <c r="AH425" s="342"/>
      <c r="AI425" s="342"/>
      <c r="AJ425" s="342"/>
      <c r="AK425" s="547"/>
      <c r="AL425" s="183"/>
    </row>
    <row r="426" spans="2:38" x14ac:dyDescent="0.25">
      <c r="B426" s="13" t="s">
        <v>100</v>
      </c>
      <c r="C426" s="13" t="s">
        <v>106</v>
      </c>
      <c r="D426" s="941" t="str">
        <f>'Kalkulace a Porovnání'!D426</f>
        <v/>
      </c>
      <c r="E426" s="942"/>
      <c r="F426" s="942"/>
      <c r="G426" s="942"/>
      <c r="H426" s="943"/>
      <c r="K426" s="13" t="s">
        <v>100</v>
      </c>
      <c r="L426" s="13" t="s">
        <v>106</v>
      </c>
      <c r="M426" s="941" t="str">
        <f>'Kalkulace a Porovnání'!M426</f>
        <v/>
      </c>
      <c r="N426" s="942"/>
      <c r="O426" s="942"/>
      <c r="P426" s="942"/>
      <c r="Q426" s="943"/>
      <c r="T426" s="13" t="s">
        <v>100</v>
      </c>
      <c r="U426" s="13" t="s">
        <v>106</v>
      </c>
      <c r="V426" s="949" t="str">
        <f>'Kalkulace a Porovnání'!V426</f>
        <v/>
      </c>
      <c r="W426" s="738"/>
      <c r="X426" s="738"/>
      <c r="Y426" s="738"/>
      <c r="Z426" s="738"/>
      <c r="AA426" s="738"/>
      <c r="AB426" s="738"/>
      <c r="AC426" s="183"/>
      <c r="AD426" s="547"/>
      <c r="AG426" s="342"/>
      <c r="AH426" s="342"/>
      <c r="AI426" s="342"/>
      <c r="AJ426" s="342"/>
      <c r="AK426" s="547"/>
      <c r="AL426" s="183"/>
    </row>
    <row r="427" spans="2:38" x14ac:dyDescent="0.25">
      <c r="B427" s="13" t="s">
        <v>101</v>
      </c>
      <c r="C427" s="13" t="s">
        <v>107</v>
      </c>
      <c r="D427" s="941" t="str">
        <f>'Kalkulace a Porovnání'!D427</f>
        <v xml:space="preserve">Město Kraslice, IČ </v>
      </c>
      <c r="E427" s="942"/>
      <c r="F427" s="942"/>
      <c r="G427" s="942"/>
      <c r="H427" s="943"/>
      <c r="K427" s="13" t="s">
        <v>101</v>
      </c>
      <c r="L427" s="13" t="s">
        <v>107</v>
      </c>
      <c r="M427" s="941" t="str">
        <f>'Kalkulace a Porovnání'!M427</f>
        <v xml:space="preserve">Město Kraslice, IČ </v>
      </c>
      <c r="N427" s="942"/>
      <c r="O427" s="942"/>
      <c r="P427" s="942"/>
      <c r="Q427" s="943"/>
      <c r="T427" s="13" t="s">
        <v>101</v>
      </c>
      <c r="U427" s="13" t="s">
        <v>107</v>
      </c>
      <c r="V427" s="949" t="str">
        <f>'Kalkulace a Porovnání'!V427</f>
        <v xml:space="preserve">Město Kraslice, IČ </v>
      </c>
      <c r="W427" s="738"/>
      <c r="X427" s="738"/>
      <c r="Y427" s="738"/>
      <c r="Z427" s="738"/>
      <c r="AA427" s="738"/>
      <c r="AB427" s="738"/>
      <c r="AC427" s="183"/>
      <c r="AD427" s="547"/>
      <c r="AG427" s="342"/>
      <c r="AH427" s="342"/>
      <c r="AI427" s="342"/>
      <c r="AJ427" s="342"/>
      <c r="AK427" s="547"/>
      <c r="AL427" s="183"/>
    </row>
    <row r="428" spans="2:38" x14ac:dyDescent="0.25">
      <c r="B428" s="13" t="s">
        <v>102</v>
      </c>
      <c r="C428" s="13" t="s">
        <v>109</v>
      </c>
      <c r="D428" s="941" t="str">
        <f>'Kalkulace a Porovnání'!D428</f>
        <v>[vyplnit]</v>
      </c>
      <c r="E428" s="942"/>
      <c r="F428" s="942"/>
      <c r="G428" s="942"/>
      <c r="H428" s="943"/>
      <c r="K428" s="13" t="s">
        <v>102</v>
      </c>
      <c r="L428" s="13" t="s">
        <v>109</v>
      </c>
      <c r="M428" s="941" t="str">
        <f>'Kalkulace a Porovnání'!M428</f>
        <v xml:space="preserve"> </v>
      </c>
      <c r="N428" s="942"/>
      <c r="O428" s="942"/>
      <c r="P428" s="942"/>
      <c r="Q428" s="943"/>
      <c r="T428" s="13" t="s">
        <v>102</v>
      </c>
      <c r="U428" s="13" t="s">
        <v>109</v>
      </c>
      <c r="V428" s="949" t="str">
        <f>'Kalkulace a Porovnání'!V428</f>
        <v xml:space="preserve"> </v>
      </c>
      <c r="W428" s="738"/>
      <c r="X428" s="738"/>
      <c r="Y428" s="738"/>
      <c r="Z428" s="738"/>
      <c r="AA428" s="738"/>
      <c r="AB428" s="738"/>
      <c r="AC428" s="183"/>
      <c r="AD428" s="547"/>
      <c r="AG428" s="342"/>
      <c r="AH428" s="342"/>
      <c r="AI428" s="342"/>
      <c r="AJ428" s="342"/>
      <c r="AK428" s="547"/>
      <c r="AL428" s="183"/>
    </row>
    <row r="429" spans="2:38" x14ac:dyDescent="0.25">
      <c r="B429" s="13" t="s">
        <v>103</v>
      </c>
      <c r="C429" s="13" t="s">
        <v>108</v>
      </c>
      <c r="D429" s="941" t="str">
        <f>'Kalkulace a Porovnání'!D429</f>
        <v>[vyplnit]</v>
      </c>
      <c r="E429" s="942"/>
      <c r="F429" s="942"/>
      <c r="G429" s="942"/>
      <c r="H429" s="943"/>
      <c r="K429" s="13" t="s">
        <v>103</v>
      </c>
      <c r="L429" s="13" t="s">
        <v>108</v>
      </c>
      <c r="M429" s="941" t="str">
        <f>'Kalkulace a Porovnání'!M429</f>
        <v xml:space="preserve"> </v>
      </c>
      <c r="N429" s="942"/>
      <c r="O429" s="942"/>
      <c r="P429" s="942"/>
      <c r="Q429" s="943"/>
      <c r="T429" s="13" t="s">
        <v>103</v>
      </c>
      <c r="U429" s="13" t="s">
        <v>108</v>
      </c>
      <c r="V429" s="949" t="str">
        <f>'Kalkulace a Porovnání'!V429</f>
        <v xml:space="preserve"> </v>
      </c>
      <c r="W429" s="738"/>
      <c r="X429" s="738"/>
      <c r="Y429" s="738"/>
      <c r="Z429" s="738"/>
      <c r="AA429" s="738"/>
      <c r="AB429" s="738"/>
      <c r="AC429" s="183"/>
      <c r="AD429" s="547"/>
      <c r="AG429" s="342"/>
      <c r="AH429" s="342"/>
      <c r="AI429" s="342"/>
      <c r="AJ429" s="342"/>
      <c r="AK429" s="547"/>
      <c r="AL429" s="183"/>
    </row>
    <row r="430" spans="2:38" x14ac:dyDescent="0.25">
      <c r="B430" s="13" t="s">
        <v>104</v>
      </c>
      <c r="C430" s="13" t="s">
        <v>110</v>
      </c>
      <c r="D430" s="941" t="str">
        <f>'Kalkulace a Porovnání'!D430</f>
        <v>[vyplnit]</v>
      </c>
      <c r="E430" s="942"/>
      <c r="F430" s="942"/>
      <c r="G430" s="942"/>
      <c r="H430" s="943"/>
      <c r="K430" s="13" t="s">
        <v>104</v>
      </c>
      <c r="L430" s="13" t="s">
        <v>110</v>
      </c>
      <c r="M430" s="941" t="str">
        <f>'Kalkulace a Porovnání'!M430</f>
        <v xml:space="preserve"> </v>
      </c>
      <c r="N430" s="942"/>
      <c r="O430" s="942"/>
      <c r="P430" s="942"/>
      <c r="Q430" s="943"/>
      <c r="T430" s="13" t="s">
        <v>104</v>
      </c>
      <c r="U430" s="13" t="s">
        <v>110</v>
      </c>
      <c r="V430" s="949" t="str">
        <f>'Kalkulace a Porovnání'!V430</f>
        <v xml:space="preserve"> </v>
      </c>
      <c r="W430" s="738"/>
      <c r="X430" s="738"/>
      <c r="Y430" s="738"/>
      <c r="Z430" s="738"/>
      <c r="AA430" s="738"/>
      <c r="AB430" s="738"/>
      <c r="AC430" s="183"/>
      <c r="AD430" s="547"/>
      <c r="AG430" s="342"/>
      <c r="AH430" s="342"/>
      <c r="AI430" s="342"/>
      <c r="AJ430" s="342"/>
      <c r="AK430" s="547"/>
      <c r="AL430" s="183"/>
    </row>
    <row r="431" spans="2:38" x14ac:dyDescent="0.25">
      <c r="AC431" s="183"/>
      <c r="AD431" s="547"/>
      <c r="AG431" s="342"/>
      <c r="AH431" s="342"/>
      <c r="AI431" s="342"/>
      <c r="AJ431" s="342"/>
      <c r="AK431" s="547"/>
      <c r="AL431" s="183"/>
    </row>
    <row r="432" spans="2:38" x14ac:dyDescent="0.25">
      <c r="B432" s="932" t="s">
        <v>5</v>
      </c>
      <c r="C432" s="721" t="s">
        <v>0</v>
      </c>
      <c r="D432" s="722"/>
      <c r="E432" s="722"/>
      <c r="F432" s="722"/>
      <c r="G432" s="722"/>
      <c r="H432" s="725"/>
      <c r="K432" s="932" t="s">
        <v>5</v>
      </c>
      <c r="L432" s="721" t="s">
        <v>0</v>
      </c>
      <c r="M432" s="722"/>
      <c r="N432" s="722"/>
      <c r="O432" s="722"/>
      <c r="P432" s="722"/>
      <c r="Q432" s="725"/>
      <c r="T432" s="932" t="s">
        <v>5</v>
      </c>
      <c r="U432" s="721" t="s">
        <v>0</v>
      </c>
      <c r="V432" s="722"/>
      <c r="W432" s="722"/>
      <c r="X432" s="722"/>
      <c r="Y432" s="722"/>
      <c r="Z432" s="722"/>
      <c r="AA432" s="722"/>
      <c r="AB432" s="725"/>
      <c r="AC432" s="183"/>
      <c r="AD432" s="547"/>
      <c r="AG432" s="342"/>
      <c r="AH432" s="342"/>
      <c r="AI432" s="342"/>
      <c r="AJ432" s="342"/>
      <c r="AK432" s="547"/>
      <c r="AL432" s="183"/>
    </row>
    <row r="433" spans="2:38" x14ac:dyDescent="0.25">
      <c r="B433" s="930"/>
      <c r="C433" s="932" t="s">
        <v>1</v>
      </c>
      <c r="D433" s="929" t="s">
        <v>173</v>
      </c>
      <c r="E433" s="721" t="s">
        <v>3</v>
      </c>
      <c r="F433" s="722"/>
      <c r="G433" s="721" t="s">
        <v>4</v>
      </c>
      <c r="H433" s="725"/>
      <c r="K433" s="930"/>
      <c r="L433" s="932" t="s">
        <v>1</v>
      </c>
      <c r="M433" s="929" t="s">
        <v>173</v>
      </c>
      <c r="N433" s="721" t="s">
        <v>3</v>
      </c>
      <c r="O433" s="722"/>
      <c r="P433" s="721" t="s">
        <v>4</v>
      </c>
      <c r="Q433" s="725"/>
      <c r="T433" s="930"/>
      <c r="U433" s="932" t="s">
        <v>1</v>
      </c>
      <c r="V433" s="929" t="s">
        <v>173</v>
      </c>
      <c r="W433" s="721" t="s">
        <v>3</v>
      </c>
      <c r="X433" s="722"/>
      <c r="Y433" s="722"/>
      <c r="Z433" s="721" t="s">
        <v>4</v>
      </c>
      <c r="AA433" s="722"/>
      <c r="AB433" s="725"/>
      <c r="AC433" s="183"/>
      <c r="AD433" s="547"/>
      <c r="AG433" s="342"/>
      <c r="AH433" s="342"/>
      <c r="AI433" s="342"/>
      <c r="AJ433" s="342"/>
      <c r="AK433" s="547"/>
      <c r="AL433" s="183"/>
    </row>
    <row r="434" spans="2:38" x14ac:dyDescent="0.25">
      <c r="B434" s="930"/>
      <c r="C434" s="930"/>
      <c r="D434" s="930"/>
      <c r="E434" s="30">
        <f>'Kalkulace a Porovnání'!E434</f>
        <v>2025</v>
      </c>
      <c r="F434" s="30">
        <f>'Kalkulace a Porovnání'!F434</f>
        <v>2026</v>
      </c>
      <c r="G434" s="30">
        <f>'Kalkulace a Porovnání'!G434</f>
        <v>2025</v>
      </c>
      <c r="H434" s="30">
        <f>'Kalkulace a Porovnání'!H434</f>
        <v>2026</v>
      </c>
      <c r="K434" s="930"/>
      <c r="L434" s="930"/>
      <c r="M434" s="930"/>
      <c r="N434" s="30">
        <f>'Kalkulace a Porovnání'!N434</f>
        <v>2025</v>
      </c>
      <c r="O434" s="30">
        <f>'Kalkulace a Porovnání'!O434</f>
        <v>2026</v>
      </c>
      <c r="P434" s="30">
        <f>'Kalkulace a Porovnání'!P434</f>
        <v>2025</v>
      </c>
      <c r="Q434" s="30">
        <f>'Kalkulace a Porovnání'!Q434</f>
        <v>2026</v>
      </c>
      <c r="T434" s="930"/>
      <c r="U434" s="930"/>
      <c r="V434" s="930"/>
      <c r="W434" s="30">
        <f>'Kalkulace a Porovnání'!W434</f>
        <v>2026</v>
      </c>
      <c r="X434" s="30">
        <f>'Kalkulace a Porovnání'!X434</f>
        <v>2026</v>
      </c>
      <c r="Y434" s="30">
        <f>'Kalkulace a Porovnání'!Y434</f>
        <v>2026</v>
      </c>
      <c r="Z434" s="30">
        <f>'Kalkulace a Porovnání'!Z434</f>
        <v>2026</v>
      </c>
      <c r="AA434" s="30">
        <f>'Kalkulace a Porovnání'!AA434</f>
        <v>2026</v>
      </c>
      <c r="AB434" s="30">
        <f>'Kalkulace a Porovnání'!AB434</f>
        <v>2026</v>
      </c>
      <c r="AC434" s="183"/>
      <c r="AD434" s="547"/>
      <c r="AG434" s="342"/>
      <c r="AH434" s="342"/>
      <c r="AI434" s="342"/>
      <c r="AJ434" s="342"/>
      <c r="AK434" s="547"/>
      <c r="AL434" s="183"/>
    </row>
    <row r="435" spans="2:38" x14ac:dyDescent="0.25">
      <c r="B435" s="931"/>
      <c r="C435" s="931"/>
      <c r="D435" s="931"/>
      <c r="E435" s="7" t="s">
        <v>199</v>
      </c>
      <c r="F435" s="7" t="s">
        <v>114</v>
      </c>
      <c r="G435" s="7" t="s">
        <v>199</v>
      </c>
      <c r="H435" s="19" t="s">
        <v>114</v>
      </c>
      <c r="K435" s="931"/>
      <c r="L435" s="931"/>
      <c r="M435" s="931"/>
      <c r="N435" s="7" t="s">
        <v>199</v>
      </c>
      <c r="O435" s="7" t="s">
        <v>114</v>
      </c>
      <c r="P435" s="7" t="s">
        <v>199</v>
      </c>
      <c r="Q435" s="19" t="s">
        <v>114</v>
      </c>
      <c r="T435" s="931"/>
      <c r="U435" s="931"/>
      <c r="V435" s="931"/>
      <c r="W435" s="7" t="s">
        <v>198</v>
      </c>
      <c r="X435" s="7" t="s">
        <v>114</v>
      </c>
      <c r="Y435" s="7" t="s">
        <v>197</v>
      </c>
      <c r="Z435" s="7" t="s">
        <v>198</v>
      </c>
      <c r="AA435" s="7" t="s">
        <v>114</v>
      </c>
      <c r="AB435" s="19" t="s">
        <v>197</v>
      </c>
      <c r="AC435" s="183"/>
      <c r="AD435" s="547"/>
      <c r="AG435" s="342"/>
      <c r="AH435" s="342"/>
      <c r="AI435" s="342"/>
      <c r="AJ435" s="342"/>
      <c r="AK435" s="547"/>
      <c r="AL435" s="183"/>
    </row>
    <row r="436" spans="2:38" x14ac:dyDescent="0.25">
      <c r="B436" s="11">
        <v>1</v>
      </c>
      <c r="C436" s="11">
        <v>2</v>
      </c>
      <c r="D436" s="11" t="s">
        <v>111</v>
      </c>
      <c r="E436" s="11">
        <v>3</v>
      </c>
      <c r="F436" s="11">
        <v>4</v>
      </c>
      <c r="G436" s="11">
        <v>6</v>
      </c>
      <c r="H436" s="22">
        <v>7</v>
      </c>
      <c r="K436" s="11">
        <v>1</v>
      </c>
      <c r="L436" s="11">
        <v>2</v>
      </c>
      <c r="M436" s="11" t="s">
        <v>111</v>
      </c>
      <c r="N436" s="11">
        <v>3</v>
      </c>
      <c r="O436" s="11">
        <v>4</v>
      </c>
      <c r="P436" s="11">
        <v>6</v>
      </c>
      <c r="Q436" s="22">
        <v>7</v>
      </c>
      <c r="T436" s="11">
        <v>1</v>
      </c>
      <c r="U436" s="11">
        <v>2</v>
      </c>
      <c r="V436" s="11" t="s">
        <v>111</v>
      </c>
      <c r="W436" s="11">
        <v>3</v>
      </c>
      <c r="X436" s="11">
        <v>4</v>
      </c>
      <c r="Y436" s="11">
        <v>5</v>
      </c>
      <c r="Z436" s="11">
        <v>6</v>
      </c>
      <c r="AA436" s="11">
        <v>7</v>
      </c>
      <c r="AB436" s="22">
        <v>8</v>
      </c>
      <c r="AC436" s="183"/>
      <c r="AD436" s="547"/>
      <c r="AG436" s="342"/>
      <c r="AH436" s="342"/>
      <c r="AI436" s="342"/>
      <c r="AJ436" s="342"/>
      <c r="AK436" s="547"/>
      <c r="AL436" s="183"/>
    </row>
    <row r="437" spans="2:38" x14ac:dyDescent="0.25">
      <c r="B437" s="9" t="s">
        <v>8</v>
      </c>
      <c r="C437" s="10" t="s">
        <v>9</v>
      </c>
      <c r="D437" s="11" t="s">
        <v>10</v>
      </c>
      <c r="E437" s="46">
        <f>'Kalkulace a Porovnání'!E437</f>
        <v>0</v>
      </c>
      <c r="F437" s="46">
        <f>'Kalkulace a Porovnání'!F437</f>
        <v>0</v>
      </c>
      <c r="G437" s="46">
        <f>'Kalkulace a Porovnání'!G437</f>
        <v>0</v>
      </c>
      <c r="H437" s="98">
        <f>'Kalkulace a Porovnání'!H437</f>
        <v>0</v>
      </c>
      <c r="K437" s="9" t="s">
        <v>8</v>
      </c>
      <c r="L437" s="10" t="s">
        <v>9</v>
      </c>
      <c r="M437" s="11" t="s">
        <v>10</v>
      </c>
      <c r="N437" s="46">
        <f>'Kalkulace a Porovnání'!N437</f>
        <v>0</v>
      </c>
      <c r="O437" s="46">
        <f>'Kalkulace a Porovnání'!O437</f>
        <v>0</v>
      </c>
      <c r="P437" s="46">
        <f>'Kalkulace a Porovnání'!P437</f>
        <v>0</v>
      </c>
      <c r="Q437" s="98">
        <f>'Kalkulace a Porovnání'!Q437</f>
        <v>0</v>
      </c>
      <c r="T437" s="9" t="s">
        <v>8</v>
      </c>
      <c r="U437" s="10" t="s">
        <v>9</v>
      </c>
      <c r="V437" s="11" t="s">
        <v>10</v>
      </c>
      <c r="W437" s="46">
        <f>'Kalkulace a Porovnání'!W437</f>
        <v>0</v>
      </c>
      <c r="X437" s="46">
        <f>'Kalkulace a Porovnání'!X437</f>
        <v>0</v>
      </c>
      <c r="Y437" s="46">
        <f>'Kalkulace a Porovnání'!Y437</f>
        <v>0</v>
      </c>
      <c r="Z437" s="46">
        <f>'Kalkulace a Porovnání'!Z437</f>
        <v>0</v>
      </c>
      <c r="AA437" s="46">
        <f>'Kalkulace a Porovnání'!AA437</f>
        <v>0</v>
      </c>
      <c r="AB437" s="98">
        <f>'Kalkulace a Porovnání'!AB437</f>
        <v>0</v>
      </c>
      <c r="AC437" s="183"/>
      <c r="AD437" s="547"/>
      <c r="AG437" s="342"/>
      <c r="AH437" s="342"/>
      <c r="AI437" s="342"/>
      <c r="AJ437" s="342"/>
      <c r="AK437" s="547"/>
      <c r="AL437" s="183"/>
    </row>
    <row r="438" spans="2:38" x14ac:dyDescent="0.25">
      <c r="B438" s="12" t="s">
        <v>11</v>
      </c>
      <c r="C438" s="13" t="s">
        <v>12</v>
      </c>
      <c r="D438" s="3" t="s">
        <v>10</v>
      </c>
      <c r="E438" s="49">
        <f>'Kalkulace a Porovnání'!E438</f>
        <v>0</v>
      </c>
      <c r="F438" s="49">
        <f>'Kalkulace a Porovnání'!F438</f>
        <v>0</v>
      </c>
      <c r="G438" s="49">
        <f>'Kalkulace a Porovnání'!G438</f>
        <v>0</v>
      </c>
      <c r="H438" s="32">
        <f>'Kalkulace a Porovnání'!H438</f>
        <v>0</v>
      </c>
      <c r="K438" s="12" t="s">
        <v>11</v>
      </c>
      <c r="L438" s="13" t="s">
        <v>12</v>
      </c>
      <c r="M438" s="3" t="s">
        <v>10</v>
      </c>
      <c r="N438" s="49">
        <f>'Kalkulace a Porovnání'!N438</f>
        <v>0</v>
      </c>
      <c r="O438" s="49">
        <f>'Kalkulace a Porovnání'!O438</f>
        <v>0</v>
      </c>
      <c r="P438" s="49">
        <f>'Kalkulace a Porovnání'!P438</f>
        <v>0</v>
      </c>
      <c r="Q438" s="32">
        <f>'Kalkulace a Porovnání'!Q438</f>
        <v>0</v>
      </c>
      <c r="T438" s="12" t="s">
        <v>11</v>
      </c>
      <c r="U438" s="13" t="s">
        <v>12</v>
      </c>
      <c r="V438" s="3" t="s">
        <v>10</v>
      </c>
      <c r="W438" s="49">
        <f>'Kalkulace a Porovnání'!W438</f>
        <v>0</v>
      </c>
      <c r="X438" s="49">
        <f>'Kalkulace a Porovnání'!X438</f>
        <v>0</v>
      </c>
      <c r="Y438" s="49">
        <f>'Kalkulace a Porovnání'!Y438</f>
        <v>0</v>
      </c>
      <c r="Z438" s="49">
        <f>'Kalkulace a Porovnání'!Z438</f>
        <v>0</v>
      </c>
      <c r="AA438" s="49">
        <f>'Kalkulace a Porovnání'!AA438</f>
        <v>0</v>
      </c>
      <c r="AB438" s="32">
        <f>'Kalkulace a Porovnání'!AB438</f>
        <v>0</v>
      </c>
      <c r="AC438" s="183"/>
      <c r="AD438" s="547"/>
      <c r="AG438" s="342"/>
      <c r="AH438" s="342"/>
      <c r="AI438" s="342"/>
      <c r="AJ438" s="342"/>
      <c r="AK438" s="547"/>
      <c r="AL438" s="183"/>
    </row>
    <row r="439" spans="2:38" x14ac:dyDescent="0.25">
      <c r="B439" s="12" t="s">
        <v>13</v>
      </c>
      <c r="C439" s="12" t="s">
        <v>14</v>
      </c>
      <c r="D439" s="3" t="s">
        <v>10</v>
      </c>
      <c r="E439" s="49">
        <f>'Kalkulace a Porovnání'!E439</f>
        <v>0</v>
      </c>
      <c r="F439" s="49">
        <f>'Kalkulace a Porovnání'!F439</f>
        <v>0</v>
      </c>
      <c r="G439" s="49">
        <f>'Kalkulace a Porovnání'!G439</f>
        <v>0</v>
      </c>
      <c r="H439" s="32">
        <f>'Kalkulace a Porovnání'!H439</f>
        <v>0</v>
      </c>
      <c r="K439" s="12" t="s">
        <v>13</v>
      </c>
      <c r="L439" s="12" t="s">
        <v>14</v>
      </c>
      <c r="M439" s="3" t="s">
        <v>10</v>
      </c>
      <c r="N439" s="49">
        <f>'Kalkulace a Porovnání'!N439</f>
        <v>0</v>
      </c>
      <c r="O439" s="49">
        <f>'Kalkulace a Porovnání'!O439</f>
        <v>0</v>
      </c>
      <c r="P439" s="49">
        <f>'Kalkulace a Porovnání'!P439</f>
        <v>0</v>
      </c>
      <c r="Q439" s="32">
        <f>'Kalkulace a Porovnání'!Q439</f>
        <v>0</v>
      </c>
      <c r="T439" s="12" t="s">
        <v>13</v>
      </c>
      <c r="U439" s="12" t="s">
        <v>14</v>
      </c>
      <c r="V439" s="3" t="s">
        <v>10</v>
      </c>
      <c r="W439" s="49">
        <f>'Kalkulace a Porovnání'!W439</f>
        <v>0</v>
      </c>
      <c r="X439" s="49">
        <f>'Kalkulace a Porovnání'!X439</f>
        <v>0</v>
      </c>
      <c r="Y439" s="49">
        <f>'Kalkulace a Porovnání'!Y439</f>
        <v>0</v>
      </c>
      <c r="Z439" s="49">
        <f>'Kalkulace a Porovnání'!Z439</f>
        <v>0</v>
      </c>
      <c r="AA439" s="49">
        <f>'Kalkulace a Porovnání'!AA439</f>
        <v>0</v>
      </c>
      <c r="AB439" s="32">
        <f>'Kalkulace a Porovnání'!AB439</f>
        <v>0</v>
      </c>
      <c r="AC439" s="183"/>
      <c r="AD439" s="547"/>
      <c r="AG439" s="342"/>
      <c r="AH439" s="342"/>
      <c r="AI439" s="342"/>
      <c r="AJ439" s="342"/>
      <c r="AK439" s="547"/>
      <c r="AL439" s="183"/>
    </row>
    <row r="440" spans="2:38" x14ac:dyDescent="0.25">
      <c r="B440" s="12" t="s">
        <v>15</v>
      </c>
      <c r="C440" s="13" t="s">
        <v>16</v>
      </c>
      <c r="D440" s="3" t="s">
        <v>10</v>
      </c>
      <c r="E440" s="49">
        <f>'Kalkulace a Porovnání'!E440</f>
        <v>0</v>
      </c>
      <c r="F440" s="49">
        <f>'Kalkulace a Porovnání'!F440</f>
        <v>0</v>
      </c>
      <c r="G440" s="49">
        <f>'Kalkulace a Porovnání'!G440</f>
        <v>0</v>
      </c>
      <c r="H440" s="32">
        <f>'Kalkulace a Porovnání'!H440</f>
        <v>0</v>
      </c>
      <c r="K440" s="12" t="s">
        <v>15</v>
      </c>
      <c r="L440" s="13" t="s">
        <v>16</v>
      </c>
      <c r="M440" s="3" t="s">
        <v>10</v>
      </c>
      <c r="N440" s="49">
        <f>'Kalkulace a Porovnání'!N440</f>
        <v>0</v>
      </c>
      <c r="O440" s="49">
        <f>'Kalkulace a Porovnání'!O440</f>
        <v>0</v>
      </c>
      <c r="P440" s="49">
        <f>'Kalkulace a Porovnání'!P440</f>
        <v>0</v>
      </c>
      <c r="Q440" s="32">
        <f>'Kalkulace a Porovnání'!Q440</f>
        <v>0</v>
      </c>
      <c r="T440" s="12" t="s">
        <v>15</v>
      </c>
      <c r="U440" s="13" t="s">
        <v>16</v>
      </c>
      <c r="V440" s="3" t="s">
        <v>10</v>
      </c>
      <c r="W440" s="49">
        <f>'Kalkulace a Porovnání'!W440</f>
        <v>0</v>
      </c>
      <c r="X440" s="49">
        <f>'Kalkulace a Porovnání'!X440</f>
        <v>0</v>
      </c>
      <c r="Y440" s="49">
        <f>'Kalkulace a Porovnání'!Y440</f>
        <v>0</v>
      </c>
      <c r="Z440" s="49">
        <f>'Kalkulace a Porovnání'!Z440</f>
        <v>0</v>
      </c>
      <c r="AA440" s="49">
        <f>'Kalkulace a Porovnání'!AA440</f>
        <v>0</v>
      </c>
      <c r="AB440" s="32">
        <f>'Kalkulace a Porovnání'!AB440</f>
        <v>0</v>
      </c>
      <c r="AC440" s="183"/>
      <c r="AD440" s="547"/>
      <c r="AG440" s="342"/>
      <c r="AH440" s="342"/>
      <c r="AI440" s="342"/>
      <c r="AJ440" s="342"/>
      <c r="AK440" s="547"/>
      <c r="AL440" s="183"/>
    </row>
    <row r="441" spans="2:38" x14ac:dyDescent="0.25">
      <c r="B441" s="12" t="s">
        <v>17</v>
      </c>
      <c r="C441" s="13" t="s">
        <v>18</v>
      </c>
      <c r="D441" s="3" t="s">
        <v>10</v>
      </c>
      <c r="E441" s="49">
        <f>'Kalkulace a Porovnání'!E441</f>
        <v>0</v>
      </c>
      <c r="F441" s="49">
        <f>'Kalkulace a Porovnání'!F441</f>
        <v>0</v>
      </c>
      <c r="G441" s="49">
        <f>'Kalkulace a Porovnání'!G441</f>
        <v>0</v>
      </c>
      <c r="H441" s="32">
        <f>'Kalkulace a Porovnání'!H441</f>
        <v>0</v>
      </c>
      <c r="K441" s="12" t="s">
        <v>17</v>
      </c>
      <c r="L441" s="13" t="s">
        <v>18</v>
      </c>
      <c r="M441" s="3" t="s">
        <v>10</v>
      </c>
      <c r="N441" s="49">
        <f>'Kalkulace a Porovnání'!N441</f>
        <v>0</v>
      </c>
      <c r="O441" s="49">
        <f>'Kalkulace a Porovnání'!O441</f>
        <v>0</v>
      </c>
      <c r="P441" s="49">
        <f>'Kalkulace a Porovnání'!P441</f>
        <v>0</v>
      </c>
      <c r="Q441" s="32">
        <f>'Kalkulace a Porovnání'!Q441</f>
        <v>0</v>
      </c>
      <c r="T441" s="12" t="s">
        <v>17</v>
      </c>
      <c r="U441" s="13" t="s">
        <v>18</v>
      </c>
      <c r="V441" s="3" t="s">
        <v>10</v>
      </c>
      <c r="W441" s="49">
        <f>'Kalkulace a Porovnání'!W441</f>
        <v>0</v>
      </c>
      <c r="X441" s="49">
        <f>'Kalkulace a Porovnání'!X441</f>
        <v>0</v>
      </c>
      <c r="Y441" s="49">
        <f>'Kalkulace a Porovnání'!Y441</f>
        <v>0</v>
      </c>
      <c r="Z441" s="49">
        <f>'Kalkulace a Porovnání'!Z441</f>
        <v>0</v>
      </c>
      <c r="AA441" s="49">
        <f>'Kalkulace a Porovnání'!AA441</f>
        <v>0</v>
      </c>
      <c r="AB441" s="32">
        <f>'Kalkulace a Porovnání'!AB441</f>
        <v>0</v>
      </c>
      <c r="AC441" s="183"/>
      <c r="AD441" s="547"/>
      <c r="AG441" s="342"/>
      <c r="AH441" s="342"/>
      <c r="AI441" s="342"/>
      <c r="AJ441" s="342"/>
      <c r="AK441" s="547"/>
      <c r="AL441" s="183"/>
    </row>
    <row r="442" spans="2:38" x14ac:dyDescent="0.25">
      <c r="B442" s="9" t="s">
        <v>19</v>
      </c>
      <c r="C442" s="10" t="s">
        <v>20</v>
      </c>
      <c r="D442" s="11" t="s">
        <v>10</v>
      </c>
      <c r="E442" s="46">
        <f>'Kalkulace a Porovnání'!E442</f>
        <v>0</v>
      </c>
      <c r="F442" s="46">
        <f>'Kalkulace a Porovnání'!F442</f>
        <v>0</v>
      </c>
      <c r="G442" s="46">
        <f>'Kalkulace a Porovnání'!G442</f>
        <v>0</v>
      </c>
      <c r="H442" s="98">
        <f>'Kalkulace a Porovnání'!H442</f>
        <v>0</v>
      </c>
      <c r="K442" s="9" t="s">
        <v>19</v>
      </c>
      <c r="L442" s="10" t="s">
        <v>20</v>
      </c>
      <c r="M442" s="11" t="s">
        <v>10</v>
      </c>
      <c r="N442" s="46">
        <f>'Kalkulace a Porovnání'!N442</f>
        <v>0</v>
      </c>
      <c r="O442" s="46">
        <f>'Kalkulace a Porovnání'!O442</f>
        <v>0</v>
      </c>
      <c r="P442" s="46">
        <f>'Kalkulace a Porovnání'!P442</f>
        <v>0</v>
      </c>
      <c r="Q442" s="98">
        <f>'Kalkulace a Porovnání'!Q442</f>
        <v>0</v>
      </c>
      <c r="T442" s="9" t="s">
        <v>19</v>
      </c>
      <c r="U442" s="10" t="s">
        <v>20</v>
      </c>
      <c r="V442" s="11" t="s">
        <v>10</v>
      </c>
      <c r="W442" s="46">
        <f>'Kalkulace a Porovnání'!W442</f>
        <v>0</v>
      </c>
      <c r="X442" s="46">
        <f>'Kalkulace a Porovnání'!X442</f>
        <v>0</v>
      </c>
      <c r="Y442" s="46">
        <f>'Kalkulace a Porovnání'!Y442</f>
        <v>0</v>
      </c>
      <c r="Z442" s="46">
        <f>'Kalkulace a Porovnání'!Z442</f>
        <v>0</v>
      </c>
      <c r="AA442" s="46">
        <f>'Kalkulace a Porovnání'!AA442</f>
        <v>0</v>
      </c>
      <c r="AB442" s="98">
        <f>'Kalkulace a Porovnání'!AB442</f>
        <v>0</v>
      </c>
      <c r="AC442" s="183"/>
      <c r="AD442" s="547"/>
      <c r="AG442" s="342"/>
      <c r="AH442" s="342"/>
      <c r="AI442" s="342"/>
      <c r="AJ442" s="342"/>
      <c r="AK442" s="547"/>
      <c r="AL442" s="183"/>
    </row>
    <row r="443" spans="2:38" x14ac:dyDescent="0.25">
      <c r="B443" s="12" t="s">
        <v>21</v>
      </c>
      <c r="C443" s="12" t="s">
        <v>22</v>
      </c>
      <c r="D443" s="3" t="s">
        <v>10</v>
      </c>
      <c r="E443" s="49">
        <f>'Kalkulace a Porovnání'!E443</f>
        <v>0</v>
      </c>
      <c r="F443" s="49">
        <f>'Kalkulace a Porovnání'!F443</f>
        <v>0</v>
      </c>
      <c r="G443" s="49">
        <f>'Kalkulace a Porovnání'!G443</f>
        <v>0</v>
      </c>
      <c r="H443" s="32">
        <f>'Kalkulace a Porovnání'!H443</f>
        <v>0</v>
      </c>
      <c r="K443" s="12" t="s">
        <v>21</v>
      </c>
      <c r="L443" s="12" t="s">
        <v>22</v>
      </c>
      <c r="M443" s="3" t="s">
        <v>10</v>
      </c>
      <c r="N443" s="49">
        <f>'Kalkulace a Porovnání'!N443</f>
        <v>0</v>
      </c>
      <c r="O443" s="49">
        <f>'Kalkulace a Porovnání'!O443</f>
        <v>0</v>
      </c>
      <c r="P443" s="49">
        <f>'Kalkulace a Porovnání'!P443</f>
        <v>0</v>
      </c>
      <c r="Q443" s="32">
        <f>'Kalkulace a Porovnání'!Q443</f>
        <v>0</v>
      </c>
      <c r="T443" s="12" t="s">
        <v>21</v>
      </c>
      <c r="U443" s="12" t="s">
        <v>22</v>
      </c>
      <c r="V443" s="3" t="s">
        <v>10</v>
      </c>
      <c r="W443" s="49">
        <f>'Kalkulace a Porovnání'!W443</f>
        <v>0</v>
      </c>
      <c r="X443" s="49">
        <f>'Kalkulace a Porovnání'!X443</f>
        <v>0</v>
      </c>
      <c r="Y443" s="49">
        <f>'Kalkulace a Porovnání'!Y443</f>
        <v>0</v>
      </c>
      <c r="Z443" s="49">
        <f>'Kalkulace a Porovnání'!Z443</f>
        <v>0</v>
      </c>
      <c r="AA443" s="49">
        <f>'Kalkulace a Porovnání'!AA443</f>
        <v>0</v>
      </c>
      <c r="AB443" s="32">
        <f>'Kalkulace a Porovnání'!AB443</f>
        <v>0</v>
      </c>
      <c r="AC443" s="183"/>
      <c r="AD443" s="547"/>
      <c r="AG443" s="342"/>
      <c r="AH443" s="342"/>
      <c r="AI443" s="342"/>
      <c r="AJ443" s="342"/>
      <c r="AK443" s="547"/>
      <c r="AL443" s="183"/>
    </row>
    <row r="444" spans="2:38" x14ac:dyDescent="0.25">
      <c r="B444" s="12" t="s">
        <v>23</v>
      </c>
      <c r="C444" s="12" t="s">
        <v>24</v>
      </c>
      <c r="D444" s="3" t="s">
        <v>10</v>
      </c>
      <c r="E444" s="49">
        <f>'Kalkulace a Porovnání'!E444</f>
        <v>0</v>
      </c>
      <c r="F444" s="49">
        <f>'Kalkulace a Porovnání'!F444</f>
        <v>0</v>
      </c>
      <c r="G444" s="49">
        <f>'Kalkulace a Porovnání'!G444</f>
        <v>0</v>
      </c>
      <c r="H444" s="32">
        <f>'Kalkulace a Porovnání'!H444</f>
        <v>0</v>
      </c>
      <c r="K444" s="12" t="s">
        <v>23</v>
      </c>
      <c r="L444" s="12" t="s">
        <v>24</v>
      </c>
      <c r="M444" s="3" t="s">
        <v>10</v>
      </c>
      <c r="N444" s="49">
        <f>'Kalkulace a Porovnání'!N444</f>
        <v>0</v>
      </c>
      <c r="O444" s="49">
        <f>'Kalkulace a Porovnání'!O444</f>
        <v>0</v>
      </c>
      <c r="P444" s="49">
        <f>'Kalkulace a Porovnání'!P444</f>
        <v>0</v>
      </c>
      <c r="Q444" s="32">
        <f>'Kalkulace a Porovnání'!Q444</f>
        <v>0</v>
      </c>
      <c r="T444" s="12" t="s">
        <v>23</v>
      </c>
      <c r="U444" s="12" t="s">
        <v>24</v>
      </c>
      <c r="V444" s="3" t="s">
        <v>10</v>
      </c>
      <c r="W444" s="49">
        <f>'Kalkulace a Porovnání'!W444</f>
        <v>0</v>
      </c>
      <c r="X444" s="49">
        <f>'Kalkulace a Porovnání'!X444</f>
        <v>0</v>
      </c>
      <c r="Y444" s="49">
        <f>'Kalkulace a Porovnání'!Y444</f>
        <v>0</v>
      </c>
      <c r="Z444" s="49">
        <f>'Kalkulace a Porovnání'!Z444</f>
        <v>0</v>
      </c>
      <c r="AA444" s="49">
        <f>'Kalkulace a Porovnání'!AA444</f>
        <v>0</v>
      </c>
      <c r="AB444" s="32">
        <f>'Kalkulace a Porovnání'!AB444</f>
        <v>0</v>
      </c>
      <c r="AC444" s="183"/>
      <c r="AD444" s="547"/>
      <c r="AG444" s="342"/>
      <c r="AH444" s="342"/>
      <c r="AI444" s="342"/>
      <c r="AJ444" s="342"/>
      <c r="AK444" s="547"/>
      <c r="AL444" s="183"/>
    </row>
    <row r="445" spans="2:38" x14ac:dyDescent="0.25">
      <c r="B445" s="9" t="s">
        <v>25</v>
      </c>
      <c r="C445" s="10" t="s">
        <v>26</v>
      </c>
      <c r="D445" s="11" t="s">
        <v>10</v>
      </c>
      <c r="E445" s="46">
        <f>'Kalkulace a Porovnání'!E445</f>
        <v>0</v>
      </c>
      <c r="F445" s="46">
        <f>'Kalkulace a Porovnání'!F445</f>
        <v>0</v>
      </c>
      <c r="G445" s="46">
        <f>'Kalkulace a Porovnání'!G445</f>
        <v>0</v>
      </c>
      <c r="H445" s="98">
        <f>'Kalkulace a Porovnání'!H445</f>
        <v>0</v>
      </c>
      <c r="K445" s="9" t="s">
        <v>25</v>
      </c>
      <c r="L445" s="10" t="s">
        <v>26</v>
      </c>
      <c r="M445" s="11" t="s">
        <v>10</v>
      </c>
      <c r="N445" s="46">
        <f>'Kalkulace a Porovnání'!N445</f>
        <v>0</v>
      </c>
      <c r="O445" s="46">
        <f>'Kalkulace a Porovnání'!O445</f>
        <v>0</v>
      </c>
      <c r="P445" s="46">
        <f>'Kalkulace a Porovnání'!P445</f>
        <v>0</v>
      </c>
      <c r="Q445" s="98">
        <f>'Kalkulace a Porovnání'!Q445</f>
        <v>0</v>
      </c>
      <c r="T445" s="9" t="s">
        <v>25</v>
      </c>
      <c r="U445" s="10" t="s">
        <v>26</v>
      </c>
      <c r="V445" s="11" t="s">
        <v>10</v>
      </c>
      <c r="W445" s="46">
        <f>'Kalkulace a Porovnání'!W445</f>
        <v>0</v>
      </c>
      <c r="X445" s="46">
        <f>'Kalkulace a Porovnání'!X445</f>
        <v>0</v>
      </c>
      <c r="Y445" s="46">
        <f>'Kalkulace a Porovnání'!Y445</f>
        <v>0</v>
      </c>
      <c r="Z445" s="46">
        <f>'Kalkulace a Porovnání'!Z445</f>
        <v>0</v>
      </c>
      <c r="AA445" s="46">
        <f>'Kalkulace a Porovnání'!AA445</f>
        <v>0</v>
      </c>
      <c r="AB445" s="98">
        <f>'Kalkulace a Porovnání'!AB445</f>
        <v>0</v>
      </c>
      <c r="AC445" s="183"/>
      <c r="AD445" s="547"/>
      <c r="AG445" s="342"/>
      <c r="AH445" s="342"/>
      <c r="AI445" s="342"/>
      <c r="AJ445" s="342"/>
      <c r="AK445" s="547"/>
      <c r="AL445" s="183"/>
    </row>
    <row r="446" spans="2:38" x14ac:dyDescent="0.25">
      <c r="B446" s="12" t="s">
        <v>27</v>
      </c>
      <c r="C446" s="13" t="s">
        <v>28</v>
      </c>
      <c r="D446" s="3" t="s">
        <v>10</v>
      </c>
      <c r="E446" s="49">
        <f>'Kalkulace a Porovnání'!E446</f>
        <v>0</v>
      </c>
      <c r="F446" s="49">
        <f>'Kalkulace a Porovnání'!F446</f>
        <v>0</v>
      </c>
      <c r="G446" s="49">
        <f>'Kalkulace a Porovnání'!G446</f>
        <v>0</v>
      </c>
      <c r="H446" s="32">
        <f>'Kalkulace a Porovnání'!H446</f>
        <v>0</v>
      </c>
      <c r="K446" s="12" t="s">
        <v>27</v>
      </c>
      <c r="L446" s="13" t="s">
        <v>28</v>
      </c>
      <c r="M446" s="3" t="s">
        <v>10</v>
      </c>
      <c r="N446" s="49">
        <f>'Kalkulace a Porovnání'!N446</f>
        <v>0</v>
      </c>
      <c r="O446" s="49">
        <f>'Kalkulace a Porovnání'!O446</f>
        <v>0</v>
      </c>
      <c r="P446" s="49">
        <f>'Kalkulace a Porovnání'!P446</f>
        <v>0</v>
      </c>
      <c r="Q446" s="32">
        <f>'Kalkulace a Porovnání'!Q446</f>
        <v>0</v>
      </c>
      <c r="T446" s="12" t="s">
        <v>27</v>
      </c>
      <c r="U446" s="13" t="s">
        <v>28</v>
      </c>
      <c r="V446" s="3" t="s">
        <v>10</v>
      </c>
      <c r="W446" s="49">
        <f>'Kalkulace a Porovnání'!W446</f>
        <v>0</v>
      </c>
      <c r="X446" s="49">
        <f>'Kalkulace a Porovnání'!X446</f>
        <v>0</v>
      </c>
      <c r="Y446" s="49">
        <f>'Kalkulace a Porovnání'!Y446</f>
        <v>0</v>
      </c>
      <c r="Z446" s="49">
        <f>'Kalkulace a Porovnání'!Z446</f>
        <v>0</v>
      </c>
      <c r="AA446" s="49">
        <f>'Kalkulace a Porovnání'!AA446</f>
        <v>0</v>
      </c>
      <c r="AB446" s="32">
        <f>'Kalkulace a Porovnání'!AB446</f>
        <v>0</v>
      </c>
      <c r="AC446" s="183"/>
      <c r="AD446" s="547"/>
      <c r="AG446" s="342"/>
      <c r="AH446" s="342"/>
      <c r="AI446" s="342"/>
      <c r="AJ446" s="342"/>
      <c r="AK446" s="547"/>
      <c r="AL446" s="183"/>
    </row>
    <row r="447" spans="2:38" x14ac:dyDescent="0.25">
      <c r="B447" s="12" t="s">
        <v>29</v>
      </c>
      <c r="C447" s="13" t="s">
        <v>30</v>
      </c>
      <c r="D447" s="3" t="s">
        <v>10</v>
      </c>
      <c r="E447" s="49">
        <f>'Kalkulace a Porovnání'!E447</f>
        <v>0</v>
      </c>
      <c r="F447" s="49">
        <f>'Kalkulace a Porovnání'!F447</f>
        <v>0</v>
      </c>
      <c r="G447" s="49">
        <f>'Kalkulace a Porovnání'!G447</f>
        <v>0</v>
      </c>
      <c r="H447" s="32">
        <f>'Kalkulace a Porovnání'!H447</f>
        <v>0</v>
      </c>
      <c r="K447" s="12" t="s">
        <v>29</v>
      </c>
      <c r="L447" s="13" t="s">
        <v>30</v>
      </c>
      <c r="M447" s="3" t="s">
        <v>10</v>
      </c>
      <c r="N447" s="49">
        <f>'Kalkulace a Porovnání'!N447</f>
        <v>0</v>
      </c>
      <c r="O447" s="49">
        <f>'Kalkulace a Porovnání'!O447</f>
        <v>0</v>
      </c>
      <c r="P447" s="49">
        <f>'Kalkulace a Porovnání'!P447</f>
        <v>0</v>
      </c>
      <c r="Q447" s="32">
        <f>'Kalkulace a Porovnání'!Q447</f>
        <v>0</v>
      </c>
      <c r="T447" s="12" t="s">
        <v>29</v>
      </c>
      <c r="U447" s="13" t="s">
        <v>30</v>
      </c>
      <c r="V447" s="3" t="s">
        <v>10</v>
      </c>
      <c r="W447" s="49">
        <f>'Kalkulace a Porovnání'!W447</f>
        <v>0</v>
      </c>
      <c r="X447" s="49">
        <f>'Kalkulace a Porovnání'!X447</f>
        <v>0</v>
      </c>
      <c r="Y447" s="49">
        <f>'Kalkulace a Porovnání'!Y447</f>
        <v>0</v>
      </c>
      <c r="Z447" s="49">
        <f>'Kalkulace a Porovnání'!Z447</f>
        <v>0</v>
      </c>
      <c r="AA447" s="49">
        <f>'Kalkulace a Porovnání'!AA447</f>
        <v>0</v>
      </c>
      <c r="AB447" s="32">
        <f>'Kalkulace a Porovnání'!AB447</f>
        <v>0</v>
      </c>
      <c r="AC447" s="183"/>
      <c r="AD447" s="547"/>
      <c r="AG447" s="342"/>
      <c r="AH447" s="342"/>
      <c r="AI447" s="342"/>
      <c r="AJ447" s="342"/>
      <c r="AK447" s="547"/>
      <c r="AL447" s="183"/>
    </row>
    <row r="448" spans="2:38" x14ac:dyDescent="0.25">
      <c r="B448" s="9" t="s">
        <v>31</v>
      </c>
      <c r="C448" s="10" t="s">
        <v>32</v>
      </c>
      <c r="D448" s="11" t="s">
        <v>10</v>
      </c>
      <c r="E448" s="46">
        <f>'Kalkulace a Porovnání'!E448</f>
        <v>0</v>
      </c>
      <c r="F448" s="46">
        <f>'Kalkulace a Porovnání'!F448</f>
        <v>0</v>
      </c>
      <c r="G448" s="46">
        <f>'Kalkulace a Porovnání'!G448</f>
        <v>0</v>
      </c>
      <c r="H448" s="98">
        <f>'Kalkulace a Porovnání'!H448</f>
        <v>0</v>
      </c>
      <c r="K448" s="9" t="s">
        <v>31</v>
      </c>
      <c r="L448" s="10" t="s">
        <v>32</v>
      </c>
      <c r="M448" s="11" t="s">
        <v>10</v>
      </c>
      <c r="N448" s="46">
        <f>'Kalkulace a Porovnání'!N448</f>
        <v>0</v>
      </c>
      <c r="O448" s="46">
        <f>'Kalkulace a Porovnání'!O448</f>
        <v>0</v>
      </c>
      <c r="P448" s="46">
        <f>'Kalkulace a Porovnání'!P448</f>
        <v>0</v>
      </c>
      <c r="Q448" s="98">
        <f>'Kalkulace a Porovnání'!Q448</f>
        <v>0</v>
      </c>
      <c r="T448" s="9" t="s">
        <v>31</v>
      </c>
      <c r="U448" s="10" t="s">
        <v>32</v>
      </c>
      <c r="V448" s="11" t="s">
        <v>10</v>
      </c>
      <c r="W448" s="46">
        <f>'Kalkulace a Porovnání'!W448</f>
        <v>0</v>
      </c>
      <c r="X448" s="46">
        <f>'Kalkulace a Porovnání'!X448</f>
        <v>0</v>
      </c>
      <c r="Y448" s="46">
        <f>'Kalkulace a Porovnání'!Y448</f>
        <v>0</v>
      </c>
      <c r="Z448" s="46">
        <f>'Kalkulace a Porovnání'!Z448</f>
        <v>0</v>
      </c>
      <c r="AA448" s="46">
        <f>'Kalkulace a Porovnání'!AA448</f>
        <v>0</v>
      </c>
      <c r="AB448" s="98">
        <f>'Kalkulace a Porovnání'!AB448</f>
        <v>0</v>
      </c>
      <c r="AC448" s="183"/>
      <c r="AD448" s="547"/>
      <c r="AG448" s="342"/>
      <c r="AH448" s="342"/>
      <c r="AI448" s="342"/>
      <c r="AJ448" s="342"/>
      <c r="AK448" s="547"/>
      <c r="AL448" s="183"/>
    </row>
    <row r="449" spans="2:38" x14ac:dyDescent="0.25">
      <c r="B449" s="12" t="s">
        <v>33</v>
      </c>
      <c r="C449" s="21" t="s">
        <v>34</v>
      </c>
      <c r="D449" s="3" t="s">
        <v>10</v>
      </c>
      <c r="E449" s="49">
        <f>'Kalkulace a Porovnání'!E449</f>
        <v>0</v>
      </c>
      <c r="F449" s="49">
        <f>'Kalkulace a Porovnání'!F449</f>
        <v>0</v>
      </c>
      <c r="G449" s="49">
        <f>'Kalkulace a Porovnání'!G449</f>
        <v>0</v>
      </c>
      <c r="H449" s="32">
        <f>'Kalkulace a Porovnání'!H449</f>
        <v>0</v>
      </c>
      <c r="K449" s="12" t="s">
        <v>33</v>
      </c>
      <c r="L449" s="21" t="s">
        <v>34</v>
      </c>
      <c r="M449" s="3" t="s">
        <v>10</v>
      </c>
      <c r="N449" s="49">
        <f>'Kalkulace a Porovnání'!N449</f>
        <v>0</v>
      </c>
      <c r="O449" s="49">
        <f>'Kalkulace a Porovnání'!O449</f>
        <v>0</v>
      </c>
      <c r="P449" s="49">
        <f>'Kalkulace a Porovnání'!P449</f>
        <v>0</v>
      </c>
      <c r="Q449" s="32">
        <f>'Kalkulace a Porovnání'!Q449</f>
        <v>0</v>
      </c>
      <c r="T449" s="12" t="s">
        <v>33</v>
      </c>
      <c r="U449" s="21" t="s">
        <v>34</v>
      </c>
      <c r="V449" s="3" t="s">
        <v>10</v>
      </c>
      <c r="W449" s="49">
        <f>'Kalkulace a Porovnání'!W449</f>
        <v>0</v>
      </c>
      <c r="X449" s="49">
        <f>'Kalkulace a Porovnání'!X449</f>
        <v>0</v>
      </c>
      <c r="Y449" s="49">
        <f>'Kalkulace a Porovnání'!Y449</f>
        <v>0</v>
      </c>
      <c r="Z449" s="49">
        <f>'Kalkulace a Porovnání'!Z449</f>
        <v>0</v>
      </c>
      <c r="AA449" s="49">
        <f>'Kalkulace a Porovnání'!AA449</f>
        <v>0</v>
      </c>
      <c r="AB449" s="32">
        <f>'Kalkulace a Porovnání'!AB449</f>
        <v>0</v>
      </c>
      <c r="AC449" s="183"/>
      <c r="AD449" s="547"/>
      <c r="AG449" s="547"/>
      <c r="AH449" s="547"/>
      <c r="AI449" s="342"/>
      <c r="AJ449" s="342"/>
      <c r="AK449" s="547"/>
      <c r="AL449" s="183"/>
    </row>
    <row r="450" spans="2:38" x14ac:dyDescent="0.25">
      <c r="B450" s="12" t="s">
        <v>35</v>
      </c>
      <c r="C450" s="13" t="s">
        <v>36</v>
      </c>
      <c r="D450" s="3" t="s">
        <v>10</v>
      </c>
      <c r="E450" s="49">
        <f>'Kalkulace a Porovnání'!E450</f>
        <v>0</v>
      </c>
      <c r="F450" s="49">
        <f>'Kalkulace a Porovnání'!F450</f>
        <v>0</v>
      </c>
      <c r="G450" s="49">
        <f>'Kalkulace a Porovnání'!G450</f>
        <v>0</v>
      </c>
      <c r="H450" s="32">
        <f>'Kalkulace a Porovnání'!H450</f>
        <v>0</v>
      </c>
      <c r="K450" s="12" t="s">
        <v>35</v>
      </c>
      <c r="L450" s="13" t="s">
        <v>36</v>
      </c>
      <c r="M450" s="3" t="s">
        <v>10</v>
      </c>
      <c r="N450" s="49">
        <f>'Kalkulace a Porovnání'!N450</f>
        <v>0</v>
      </c>
      <c r="O450" s="49">
        <f>'Kalkulace a Porovnání'!O450</f>
        <v>0</v>
      </c>
      <c r="P450" s="49">
        <f>'Kalkulace a Porovnání'!P450</f>
        <v>0</v>
      </c>
      <c r="Q450" s="32">
        <f>'Kalkulace a Porovnání'!Q450</f>
        <v>0</v>
      </c>
      <c r="T450" s="12" t="s">
        <v>35</v>
      </c>
      <c r="U450" s="13" t="s">
        <v>36</v>
      </c>
      <c r="V450" s="3" t="s">
        <v>10</v>
      </c>
      <c r="W450" s="49">
        <f>'Kalkulace a Porovnání'!W450</f>
        <v>0</v>
      </c>
      <c r="X450" s="49">
        <f>'Kalkulace a Porovnání'!X450</f>
        <v>0</v>
      </c>
      <c r="Y450" s="49">
        <f>'Kalkulace a Porovnání'!Y450</f>
        <v>0</v>
      </c>
      <c r="Z450" s="49">
        <f>'Kalkulace a Porovnání'!Z450</f>
        <v>0</v>
      </c>
      <c r="AA450" s="49">
        <f>'Kalkulace a Porovnání'!AA450</f>
        <v>0</v>
      </c>
      <c r="AB450" s="32">
        <f>'Kalkulace a Porovnání'!AB450</f>
        <v>0</v>
      </c>
      <c r="AC450" s="183"/>
      <c r="AD450" s="547"/>
      <c r="AG450" s="547"/>
      <c r="AH450" s="547"/>
      <c r="AI450" s="342"/>
      <c r="AJ450" s="342"/>
      <c r="AK450" s="547"/>
      <c r="AL450" s="183"/>
    </row>
    <row r="451" spans="2:38" x14ac:dyDescent="0.25">
      <c r="B451" s="12" t="s">
        <v>37</v>
      </c>
      <c r="C451" s="13" t="s">
        <v>38</v>
      </c>
      <c r="D451" s="3" t="s">
        <v>10</v>
      </c>
      <c r="E451" s="49">
        <f>'Kalkulace a Porovnání'!E451</f>
        <v>0</v>
      </c>
      <c r="F451" s="49">
        <f>'Kalkulace a Porovnání'!F451</f>
        <v>0</v>
      </c>
      <c r="G451" s="49">
        <f>'Kalkulace a Porovnání'!G451</f>
        <v>0</v>
      </c>
      <c r="H451" s="32">
        <f>'Kalkulace a Porovnání'!H451</f>
        <v>0</v>
      </c>
      <c r="K451" s="12" t="s">
        <v>37</v>
      </c>
      <c r="L451" s="13" t="s">
        <v>38</v>
      </c>
      <c r="M451" s="3" t="s">
        <v>10</v>
      </c>
      <c r="N451" s="49">
        <f>'Kalkulace a Porovnání'!N451</f>
        <v>0</v>
      </c>
      <c r="O451" s="49">
        <f>'Kalkulace a Porovnání'!O451</f>
        <v>0</v>
      </c>
      <c r="P451" s="49">
        <f>'Kalkulace a Porovnání'!P451</f>
        <v>0</v>
      </c>
      <c r="Q451" s="32">
        <f>'Kalkulace a Porovnání'!Q451</f>
        <v>0</v>
      </c>
      <c r="T451" s="12" t="s">
        <v>37</v>
      </c>
      <c r="U451" s="13" t="s">
        <v>38</v>
      </c>
      <c r="V451" s="3" t="s">
        <v>10</v>
      </c>
      <c r="W451" s="49">
        <f>'Kalkulace a Porovnání'!W451</f>
        <v>0</v>
      </c>
      <c r="X451" s="49">
        <f>'Kalkulace a Porovnání'!X451</f>
        <v>0</v>
      </c>
      <c r="Y451" s="49">
        <f>'Kalkulace a Porovnání'!Y451</f>
        <v>0</v>
      </c>
      <c r="Z451" s="49">
        <f>'Kalkulace a Porovnání'!Z451</f>
        <v>0</v>
      </c>
      <c r="AA451" s="49">
        <f>'Kalkulace a Porovnání'!AA451</f>
        <v>0</v>
      </c>
      <c r="AB451" s="32">
        <f>'Kalkulace a Porovnání'!AB451</f>
        <v>0</v>
      </c>
      <c r="AC451" s="183"/>
      <c r="AD451" s="547"/>
      <c r="AG451" s="342"/>
      <c r="AH451" s="342"/>
      <c r="AI451" s="342"/>
      <c r="AJ451" s="342"/>
      <c r="AK451" s="547"/>
      <c r="AL451" s="183"/>
    </row>
    <row r="452" spans="2:38" x14ac:dyDescent="0.25">
      <c r="B452" s="12" t="s">
        <v>39</v>
      </c>
      <c r="C452" s="21" t="s">
        <v>40</v>
      </c>
      <c r="D452" s="3" t="s">
        <v>10</v>
      </c>
      <c r="E452" s="49">
        <f>'Kalkulace a Porovnání'!E452</f>
        <v>0</v>
      </c>
      <c r="F452" s="49">
        <f>'Kalkulace a Porovnání'!F452</f>
        <v>0</v>
      </c>
      <c r="G452" s="49">
        <f>'Kalkulace a Porovnání'!G452</f>
        <v>0</v>
      </c>
      <c r="H452" s="32">
        <f>'Kalkulace a Porovnání'!H452</f>
        <v>0</v>
      </c>
      <c r="K452" s="12" t="s">
        <v>39</v>
      </c>
      <c r="L452" s="21" t="s">
        <v>40</v>
      </c>
      <c r="M452" s="3" t="s">
        <v>10</v>
      </c>
      <c r="N452" s="49">
        <f>'Kalkulace a Porovnání'!N452</f>
        <v>0</v>
      </c>
      <c r="O452" s="49">
        <f>'Kalkulace a Porovnání'!O452</f>
        <v>0</v>
      </c>
      <c r="P452" s="49">
        <f>'Kalkulace a Porovnání'!P452</f>
        <v>0</v>
      </c>
      <c r="Q452" s="32">
        <f>'Kalkulace a Porovnání'!Q452</f>
        <v>0</v>
      </c>
      <c r="T452" s="12" t="s">
        <v>39</v>
      </c>
      <c r="U452" s="21" t="s">
        <v>40</v>
      </c>
      <c r="V452" s="3" t="s">
        <v>10</v>
      </c>
      <c r="W452" s="49">
        <f>'Kalkulace a Porovnání'!W452</f>
        <v>0</v>
      </c>
      <c r="X452" s="49">
        <f>'Kalkulace a Porovnání'!X452</f>
        <v>0</v>
      </c>
      <c r="Y452" s="49">
        <f>'Kalkulace a Porovnání'!Y452</f>
        <v>0</v>
      </c>
      <c r="Z452" s="49">
        <f>'Kalkulace a Porovnání'!Z452</f>
        <v>0</v>
      </c>
      <c r="AA452" s="49">
        <f>'Kalkulace a Porovnání'!AA452</f>
        <v>0</v>
      </c>
      <c r="AB452" s="32">
        <f>'Kalkulace a Porovnání'!AB452</f>
        <v>0</v>
      </c>
      <c r="AC452" s="183"/>
      <c r="AD452" s="547"/>
      <c r="AG452" s="342"/>
      <c r="AH452" s="342"/>
      <c r="AI452" s="342"/>
      <c r="AJ452" s="342"/>
      <c r="AK452" s="547"/>
      <c r="AL452" s="183"/>
    </row>
    <row r="453" spans="2:38" x14ac:dyDescent="0.25">
      <c r="B453" s="9" t="s">
        <v>41</v>
      </c>
      <c r="C453" s="10" t="s">
        <v>42</v>
      </c>
      <c r="D453" s="11" t="s">
        <v>10</v>
      </c>
      <c r="E453" s="46">
        <f>'Kalkulace a Porovnání'!E453</f>
        <v>0</v>
      </c>
      <c r="F453" s="46">
        <f>'Kalkulace a Porovnání'!F453</f>
        <v>0</v>
      </c>
      <c r="G453" s="46">
        <f>'Kalkulace a Porovnání'!G453</f>
        <v>0</v>
      </c>
      <c r="H453" s="98">
        <f>'Kalkulace a Porovnání'!H453</f>
        <v>0</v>
      </c>
      <c r="K453" s="9" t="s">
        <v>41</v>
      </c>
      <c r="L453" s="10" t="s">
        <v>42</v>
      </c>
      <c r="M453" s="11" t="s">
        <v>10</v>
      </c>
      <c r="N453" s="46">
        <f>'Kalkulace a Porovnání'!N453</f>
        <v>0</v>
      </c>
      <c r="O453" s="46">
        <f>'Kalkulace a Porovnání'!O453</f>
        <v>0</v>
      </c>
      <c r="P453" s="46">
        <f>'Kalkulace a Porovnání'!P453</f>
        <v>0</v>
      </c>
      <c r="Q453" s="98">
        <f>'Kalkulace a Porovnání'!Q453</f>
        <v>0</v>
      </c>
      <c r="T453" s="9" t="s">
        <v>41</v>
      </c>
      <c r="U453" s="10" t="s">
        <v>42</v>
      </c>
      <c r="V453" s="11" t="s">
        <v>10</v>
      </c>
      <c r="W453" s="46">
        <f>'Kalkulace a Porovnání'!W453</f>
        <v>0</v>
      </c>
      <c r="X453" s="46">
        <f>'Kalkulace a Porovnání'!X453</f>
        <v>0</v>
      </c>
      <c r="Y453" s="46">
        <f>'Kalkulace a Porovnání'!Y453</f>
        <v>0</v>
      </c>
      <c r="Z453" s="46">
        <f>'Kalkulace a Porovnání'!Z453</f>
        <v>0</v>
      </c>
      <c r="AA453" s="46">
        <f>'Kalkulace a Porovnání'!AA453</f>
        <v>0</v>
      </c>
      <c r="AB453" s="98">
        <f>'Kalkulace a Porovnání'!AB453</f>
        <v>0</v>
      </c>
      <c r="AC453" s="183"/>
      <c r="AD453" s="547"/>
      <c r="AG453" s="548"/>
      <c r="AH453" s="548"/>
      <c r="AI453" s="342"/>
      <c r="AJ453" s="342"/>
      <c r="AK453" s="547"/>
      <c r="AL453" s="183"/>
    </row>
    <row r="454" spans="2:38" x14ac:dyDescent="0.25">
      <c r="B454" s="12" t="s">
        <v>43</v>
      </c>
      <c r="C454" s="13" t="s">
        <v>44</v>
      </c>
      <c r="D454" s="3" t="s">
        <v>10</v>
      </c>
      <c r="E454" s="49">
        <f>'Kalkulace a Porovnání'!E454</f>
        <v>0</v>
      </c>
      <c r="F454" s="49">
        <f>'Kalkulace a Porovnání'!F454</f>
        <v>0</v>
      </c>
      <c r="G454" s="49">
        <f>'Kalkulace a Porovnání'!G454</f>
        <v>0</v>
      </c>
      <c r="H454" s="32">
        <f>'Kalkulace a Porovnání'!H454</f>
        <v>0</v>
      </c>
      <c r="K454" s="12" t="s">
        <v>43</v>
      </c>
      <c r="L454" s="13" t="s">
        <v>44</v>
      </c>
      <c r="M454" s="3" t="s">
        <v>10</v>
      </c>
      <c r="N454" s="49">
        <f>'Kalkulace a Porovnání'!N454</f>
        <v>0</v>
      </c>
      <c r="O454" s="49">
        <f>'Kalkulace a Porovnání'!O454</f>
        <v>0</v>
      </c>
      <c r="P454" s="49">
        <f>'Kalkulace a Porovnání'!P454</f>
        <v>0</v>
      </c>
      <c r="Q454" s="32">
        <f>'Kalkulace a Porovnání'!Q454</f>
        <v>0</v>
      </c>
      <c r="T454" s="12" t="s">
        <v>43</v>
      </c>
      <c r="U454" s="13" t="s">
        <v>44</v>
      </c>
      <c r="V454" s="3" t="s">
        <v>10</v>
      </c>
      <c r="W454" s="49">
        <f>'Kalkulace a Porovnání'!W454</f>
        <v>0</v>
      </c>
      <c r="X454" s="49">
        <f>'Kalkulace a Porovnání'!X454</f>
        <v>0</v>
      </c>
      <c r="Y454" s="49">
        <f>'Kalkulace a Porovnání'!Y454</f>
        <v>0</v>
      </c>
      <c r="Z454" s="49">
        <f>'Kalkulace a Porovnání'!Z454</f>
        <v>0</v>
      </c>
      <c r="AA454" s="49">
        <f>'Kalkulace a Porovnání'!AA454</f>
        <v>0</v>
      </c>
      <c r="AB454" s="32">
        <f>'Kalkulace a Porovnání'!AB454</f>
        <v>0</v>
      </c>
      <c r="AC454" s="183"/>
      <c r="AD454" s="547"/>
      <c r="AG454" s="972"/>
      <c r="AH454" s="972"/>
      <c r="AI454" s="342"/>
      <c r="AJ454" s="342"/>
      <c r="AK454" s="547"/>
      <c r="AL454" s="183"/>
    </row>
    <row r="455" spans="2:38" x14ac:dyDescent="0.25">
      <c r="B455" s="12" t="s">
        <v>45</v>
      </c>
      <c r="C455" s="12" t="s">
        <v>46</v>
      </c>
      <c r="D455" s="3" t="s">
        <v>10</v>
      </c>
      <c r="E455" s="49">
        <f>'Kalkulace a Porovnání'!E455</f>
        <v>0</v>
      </c>
      <c r="F455" s="49">
        <f>'Kalkulace a Porovnání'!F455</f>
        <v>0</v>
      </c>
      <c r="G455" s="49">
        <f>'Kalkulace a Porovnání'!G455</f>
        <v>0</v>
      </c>
      <c r="H455" s="32">
        <f>'Kalkulace a Porovnání'!H455</f>
        <v>0</v>
      </c>
      <c r="K455" s="12" t="s">
        <v>45</v>
      </c>
      <c r="L455" s="12" t="s">
        <v>46</v>
      </c>
      <c r="M455" s="3" t="s">
        <v>10</v>
      </c>
      <c r="N455" s="49">
        <f>'Kalkulace a Porovnání'!N455</f>
        <v>0</v>
      </c>
      <c r="O455" s="49">
        <f>'Kalkulace a Porovnání'!O455</f>
        <v>0</v>
      </c>
      <c r="P455" s="49">
        <f>'Kalkulace a Porovnání'!P455</f>
        <v>0</v>
      </c>
      <c r="Q455" s="32">
        <f>'Kalkulace a Porovnání'!Q455</f>
        <v>0</v>
      </c>
      <c r="T455" s="12" t="s">
        <v>45</v>
      </c>
      <c r="U455" s="12" t="s">
        <v>46</v>
      </c>
      <c r="V455" s="3" t="s">
        <v>10</v>
      </c>
      <c r="W455" s="49">
        <f>'Kalkulace a Porovnání'!W455</f>
        <v>0</v>
      </c>
      <c r="X455" s="49">
        <f>'Kalkulace a Porovnání'!X455</f>
        <v>0</v>
      </c>
      <c r="Y455" s="49">
        <f>'Kalkulace a Porovnání'!Y455</f>
        <v>0</v>
      </c>
      <c r="Z455" s="49">
        <f>'Kalkulace a Porovnání'!Z455</f>
        <v>0</v>
      </c>
      <c r="AA455" s="49">
        <f>'Kalkulace a Porovnání'!AA455</f>
        <v>0</v>
      </c>
      <c r="AB455" s="32">
        <f>'Kalkulace a Porovnání'!AB455</f>
        <v>0</v>
      </c>
      <c r="AC455" s="183"/>
      <c r="AD455" s="547"/>
      <c r="AG455" s="972"/>
      <c r="AH455" s="972"/>
      <c r="AI455" s="342"/>
      <c r="AJ455" s="342"/>
      <c r="AK455" s="547"/>
      <c r="AL455" s="183"/>
    </row>
    <row r="456" spans="2:38" x14ac:dyDescent="0.25">
      <c r="B456" s="12" t="s">
        <v>47</v>
      </c>
      <c r="C456" s="13" t="s">
        <v>48</v>
      </c>
      <c r="D456" s="3" t="s">
        <v>10</v>
      </c>
      <c r="E456" s="49">
        <f>'Kalkulace a Porovnání'!E456</f>
        <v>0</v>
      </c>
      <c r="F456" s="49">
        <f>'Kalkulace a Porovnání'!F456</f>
        <v>0</v>
      </c>
      <c r="G456" s="49">
        <f>'Kalkulace a Porovnání'!G456</f>
        <v>0</v>
      </c>
      <c r="H456" s="32">
        <f>'Kalkulace a Porovnání'!H456</f>
        <v>0</v>
      </c>
      <c r="K456" s="12" t="s">
        <v>47</v>
      </c>
      <c r="L456" s="13" t="s">
        <v>48</v>
      </c>
      <c r="M456" s="3" t="s">
        <v>10</v>
      </c>
      <c r="N456" s="49">
        <f>'Kalkulace a Porovnání'!N456</f>
        <v>0</v>
      </c>
      <c r="O456" s="49">
        <f>'Kalkulace a Porovnání'!O456</f>
        <v>0</v>
      </c>
      <c r="P456" s="49">
        <f>'Kalkulace a Porovnání'!P456</f>
        <v>0</v>
      </c>
      <c r="Q456" s="32">
        <f>'Kalkulace a Porovnání'!Q456</f>
        <v>0</v>
      </c>
      <c r="T456" s="12" t="s">
        <v>47</v>
      </c>
      <c r="U456" s="13" t="s">
        <v>48</v>
      </c>
      <c r="V456" s="3" t="s">
        <v>10</v>
      </c>
      <c r="W456" s="49">
        <f>'Kalkulace a Porovnání'!W456</f>
        <v>0</v>
      </c>
      <c r="X456" s="49">
        <f>'Kalkulace a Porovnání'!X456</f>
        <v>0</v>
      </c>
      <c r="Y456" s="49">
        <f>'Kalkulace a Porovnání'!Y456</f>
        <v>0</v>
      </c>
      <c r="Z456" s="49">
        <f>'Kalkulace a Porovnání'!Z456</f>
        <v>0</v>
      </c>
      <c r="AA456" s="49">
        <f>'Kalkulace a Porovnání'!AA456</f>
        <v>0</v>
      </c>
      <c r="AB456" s="32">
        <f>'Kalkulace a Porovnání'!AB456</f>
        <v>0</v>
      </c>
      <c r="AC456" s="183"/>
      <c r="AD456" s="547"/>
      <c r="AG456" s="545"/>
      <c r="AH456" s="545"/>
      <c r="AI456" s="342"/>
      <c r="AJ456" s="342"/>
      <c r="AK456" s="547"/>
      <c r="AL456" s="183"/>
    </row>
    <row r="457" spans="2:38" x14ac:dyDescent="0.25">
      <c r="B457" s="9" t="s">
        <v>49</v>
      </c>
      <c r="C457" s="10" t="s">
        <v>50</v>
      </c>
      <c r="D457" s="11" t="s">
        <v>10</v>
      </c>
      <c r="E457" s="49">
        <f>'Kalkulace a Porovnání'!E457</f>
        <v>0</v>
      </c>
      <c r="F457" s="49">
        <f>'Kalkulace a Porovnání'!F457</f>
        <v>0</v>
      </c>
      <c r="G457" s="49">
        <f>'Kalkulace a Porovnání'!G457</f>
        <v>0</v>
      </c>
      <c r="H457" s="32">
        <f>'Kalkulace a Porovnání'!H457</f>
        <v>0</v>
      </c>
      <c r="K457" s="9" t="s">
        <v>49</v>
      </c>
      <c r="L457" s="10" t="s">
        <v>50</v>
      </c>
      <c r="M457" s="11" t="s">
        <v>10</v>
      </c>
      <c r="N457" s="49">
        <f>'Kalkulace a Porovnání'!N457</f>
        <v>0</v>
      </c>
      <c r="O457" s="49">
        <f>'Kalkulace a Porovnání'!O457</f>
        <v>0</v>
      </c>
      <c r="P457" s="49">
        <f>'Kalkulace a Porovnání'!P457</f>
        <v>0</v>
      </c>
      <c r="Q457" s="32">
        <f>'Kalkulace a Porovnání'!Q457</f>
        <v>0</v>
      </c>
      <c r="T457" s="9" t="s">
        <v>49</v>
      </c>
      <c r="U457" s="10" t="s">
        <v>50</v>
      </c>
      <c r="V457" s="11" t="s">
        <v>10</v>
      </c>
      <c r="W457" s="49">
        <f>'Kalkulace a Porovnání'!W457</f>
        <v>0</v>
      </c>
      <c r="X457" s="49">
        <f>'Kalkulace a Porovnání'!X457</f>
        <v>0</v>
      </c>
      <c r="Y457" s="49">
        <f>'Kalkulace a Porovnání'!Y457</f>
        <v>0</v>
      </c>
      <c r="Z457" s="49">
        <f>'Kalkulace a Porovnání'!Z457</f>
        <v>0</v>
      </c>
      <c r="AA457" s="49">
        <f>'Kalkulace a Porovnání'!AA457</f>
        <v>0</v>
      </c>
      <c r="AB457" s="32">
        <f>'Kalkulace a Porovnání'!AB457</f>
        <v>0</v>
      </c>
      <c r="AC457" s="183"/>
      <c r="AD457" s="547"/>
      <c r="AG457" s="184"/>
      <c r="AH457" s="184"/>
      <c r="AI457" s="342"/>
      <c r="AJ457" s="342"/>
      <c r="AK457" s="547"/>
      <c r="AL457" s="183"/>
    </row>
    <row r="458" spans="2:38" x14ac:dyDescent="0.25">
      <c r="B458" s="9" t="s">
        <v>51</v>
      </c>
      <c r="C458" s="10" t="s">
        <v>52</v>
      </c>
      <c r="D458" s="11" t="s">
        <v>10</v>
      </c>
      <c r="E458" s="49">
        <f>'Kalkulace a Porovnání'!E458</f>
        <v>0</v>
      </c>
      <c r="F458" s="49">
        <f>'Kalkulace a Porovnání'!F458</f>
        <v>0</v>
      </c>
      <c r="G458" s="49">
        <f>'Kalkulace a Porovnání'!G458</f>
        <v>0</v>
      </c>
      <c r="H458" s="32">
        <f>'Kalkulace a Porovnání'!H458</f>
        <v>0</v>
      </c>
      <c r="K458" s="9" t="s">
        <v>51</v>
      </c>
      <c r="L458" s="10" t="s">
        <v>52</v>
      </c>
      <c r="M458" s="11" t="s">
        <v>10</v>
      </c>
      <c r="N458" s="49">
        <f>'Kalkulace a Porovnání'!N458</f>
        <v>0</v>
      </c>
      <c r="O458" s="49">
        <f>'Kalkulace a Porovnání'!O458</f>
        <v>0</v>
      </c>
      <c r="P458" s="49">
        <f>'Kalkulace a Porovnání'!P458</f>
        <v>0</v>
      </c>
      <c r="Q458" s="32">
        <f>'Kalkulace a Porovnání'!Q458</f>
        <v>0</v>
      </c>
      <c r="T458" s="9" t="s">
        <v>51</v>
      </c>
      <c r="U458" s="10" t="s">
        <v>52</v>
      </c>
      <c r="V458" s="11" t="s">
        <v>10</v>
      </c>
      <c r="W458" s="49">
        <f>'Kalkulace a Porovnání'!W458</f>
        <v>0</v>
      </c>
      <c r="X458" s="49">
        <f>'Kalkulace a Porovnání'!X458</f>
        <v>0</v>
      </c>
      <c r="Y458" s="49">
        <f>'Kalkulace a Porovnání'!Y458</f>
        <v>0</v>
      </c>
      <c r="Z458" s="49">
        <f>'Kalkulace a Porovnání'!Z458</f>
        <v>0</v>
      </c>
      <c r="AA458" s="49">
        <f>'Kalkulace a Porovnání'!AA458</f>
        <v>0</v>
      </c>
      <c r="AB458" s="32">
        <f>'Kalkulace a Porovnání'!AB458</f>
        <v>0</v>
      </c>
      <c r="AC458" s="183"/>
      <c r="AD458" s="547"/>
      <c r="AG458" s="184"/>
      <c r="AH458" s="184"/>
      <c r="AI458" s="342"/>
      <c r="AJ458" s="342"/>
      <c r="AK458" s="547"/>
      <c r="AL458" s="183"/>
    </row>
    <row r="459" spans="2:38" x14ac:dyDescent="0.25">
      <c r="B459" s="9" t="s">
        <v>53</v>
      </c>
      <c r="C459" s="10" t="s">
        <v>54</v>
      </c>
      <c r="D459" s="11" t="s">
        <v>10</v>
      </c>
      <c r="E459" s="49">
        <f>'Kalkulace a Porovnání'!E459</f>
        <v>0</v>
      </c>
      <c r="F459" s="49">
        <f>'Kalkulace a Porovnání'!F459</f>
        <v>0</v>
      </c>
      <c r="G459" s="49">
        <f>'Kalkulace a Porovnání'!G459</f>
        <v>0</v>
      </c>
      <c r="H459" s="32">
        <f>'Kalkulace a Porovnání'!H459</f>
        <v>0</v>
      </c>
      <c r="K459" s="9" t="s">
        <v>53</v>
      </c>
      <c r="L459" s="10" t="s">
        <v>54</v>
      </c>
      <c r="M459" s="11" t="s">
        <v>10</v>
      </c>
      <c r="N459" s="49">
        <f>'Kalkulace a Porovnání'!N459</f>
        <v>0</v>
      </c>
      <c r="O459" s="49">
        <f>'Kalkulace a Porovnání'!O459</f>
        <v>0</v>
      </c>
      <c r="P459" s="49">
        <f>'Kalkulace a Porovnání'!P459</f>
        <v>0</v>
      </c>
      <c r="Q459" s="32">
        <f>'Kalkulace a Porovnání'!Q459</f>
        <v>0</v>
      </c>
      <c r="T459" s="9" t="s">
        <v>53</v>
      </c>
      <c r="U459" s="10" t="s">
        <v>54</v>
      </c>
      <c r="V459" s="11" t="s">
        <v>10</v>
      </c>
      <c r="W459" s="49">
        <f>'Kalkulace a Porovnání'!W459</f>
        <v>0</v>
      </c>
      <c r="X459" s="49">
        <f>'Kalkulace a Porovnání'!X459</f>
        <v>0</v>
      </c>
      <c r="Y459" s="49">
        <f>'Kalkulace a Porovnání'!Y459</f>
        <v>0</v>
      </c>
      <c r="Z459" s="49">
        <f>'Kalkulace a Porovnání'!Z459</f>
        <v>0</v>
      </c>
      <c r="AA459" s="49">
        <f>'Kalkulace a Porovnání'!AA459</f>
        <v>0</v>
      </c>
      <c r="AB459" s="32">
        <f>'Kalkulace a Porovnání'!AB459</f>
        <v>0</v>
      </c>
      <c r="AC459" s="183"/>
      <c r="AD459" s="547"/>
      <c r="AG459" s="184"/>
      <c r="AH459" s="184"/>
      <c r="AI459" s="342"/>
      <c r="AJ459" s="342"/>
      <c r="AK459" s="547"/>
      <c r="AL459" s="183"/>
    </row>
    <row r="460" spans="2:38" x14ac:dyDescent="0.25">
      <c r="B460" s="9" t="s">
        <v>55</v>
      </c>
      <c r="C460" s="10" t="s">
        <v>56</v>
      </c>
      <c r="D460" s="11" t="s">
        <v>10</v>
      </c>
      <c r="E460" s="49">
        <f>'Kalkulace a Porovnání'!E460</f>
        <v>0</v>
      </c>
      <c r="F460" s="49">
        <f>'Kalkulace a Porovnání'!F460</f>
        <v>0</v>
      </c>
      <c r="G460" s="49">
        <f>'Kalkulace a Porovnání'!G460</f>
        <v>0</v>
      </c>
      <c r="H460" s="32">
        <f>'Kalkulace a Porovnání'!H460</f>
        <v>0</v>
      </c>
      <c r="K460" s="9" t="s">
        <v>55</v>
      </c>
      <c r="L460" s="10" t="s">
        <v>56</v>
      </c>
      <c r="M460" s="11" t="s">
        <v>10</v>
      </c>
      <c r="N460" s="49">
        <f>'Kalkulace a Porovnání'!N460</f>
        <v>0</v>
      </c>
      <c r="O460" s="49">
        <f>'Kalkulace a Porovnání'!O460</f>
        <v>0</v>
      </c>
      <c r="P460" s="49">
        <f>'Kalkulace a Porovnání'!P460</f>
        <v>0</v>
      </c>
      <c r="Q460" s="32">
        <f>'Kalkulace a Porovnání'!Q460</f>
        <v>0</v>
      </c>
      <c r="T460" s="9" t="s">
        <v>55</v>
      </c>
      <c r="U460" s="10" t="s">
        <v>56</v>
      </c>
      <c r="V460" s="11" t="s">
        <v>10</v>
      </c>
      <c r="W460" s="49">
        <f>'Kalkulace a Porovnání'!W460</f>
        <v>0</v>
      </c>
      <c r="X460" s="49">
        <f>'Kalkulace a Porovnání'!X460</f>
        <v>0</v>
      </c>
      <c r="Y460" s="49">
        <f>'Kalkulace a Porovnání'!Y460</f>
        <v>0</v>
      </c>
      <c r="Z460" s="49">
        <f>'Kalkulace a Porovnání'!Z460</f>
        <v>0</v>
      </c>
      <c r="AA460" s="49">
        <f>'Kalkulace a Porovnání'!AA460</f>
        <v>0</v>
      </c>
      <c r="AB460" s="32">
        <f>'Kalkulace a Porovnání'!AB460</f>
        <v>0</v>
      </c>
      <c r="AC460" s="183"/>
      <c r="AD460" s="547"/>
      <c r="AG460" s="184"/>
      <c r="AH460" s="184"/>
      <c r="AI460" s="342"/>
      <c r="AJ460" s="342"/>
      <c r="AK460" s="547"/>
      <c r="AL460" s="183"/>
    </row>
    <row r="461" spans="2:38" x14ac:dyDescent="0.25">
      <c r="B461" s="9" t="s">
        <v>57</v>
      </c>
      <c r="C461" s="10" t="s">
        <v>58</v>
      </c>
      <c r="D461" s="11" t="s">
        <v>10</v>
      </c>
      <c r="E461" s="46">
        <f>'Kalkulace a Porovnání'!E461</f>
        <v>0</v>
      </c>
      <c r="F461" s="46">
        <f>'Kalkulace a Porovnání'!F461</f>
        <v>0</v>
      </c>
      <c r="G461" s="46">
        <f>'Kalkulace a Porovnání'!G461</f>
        <v>0</v>
      </c>
      <c r="H461" s="98">
        <f>'Kalkulace a Porovnání'!H461</f>
        <v>0</v>
      </c>
      <c r="K461" s="9" t="s">
        <v>57</v>
      </c>
      <c r="L461" s="10" t="s">
        <v>58</v>
      </c>
      <c r="M461" s="11" t="s">
        <v>10</v>
      </c>
      <c r="N461" s="46">
        <f>'Kalkulace a Porovnání'!N461</f>
        <v>0</v>
      </c>
      <c r="O461" s="46">
        <f>'Kalkulace a Porovnání'!O461</f>
        <v>0</v>
      </c>
      <c r="P461" s="46">
        <f>'Kalkulace a Porovnání'!P461</f>
        <v>0</v>
      </c>
      <c r="Q461" s="98">
        <f>'Kalkulace a Porovnání'!Q461</f>
        <v>0</v>
      </c>
      <c r="T461" s="9" t="s">
        <v>57</v>
      </c>
      <c r="U461" s="10" t="s">
        <v>58</v>
      </c>
      <c r="V461" s="11" t="s">
        <v>10</v>
      </c>
      <c r="W461" s="46">
        <f>'Kalkulace a Porovnání'!W461</f>
        <v>0</v>
      </c>
      <c r="X461" s="46">
        <f>'Kalkulace a Porovnání'!X461</f>
        <v>0</v>
      </c>
      <c r="Y461" s="46">
        <f>'Kalkulace a Porovnání'!Y461</f>
        <v>0</v>
      </c>
      <c r="Z461" s="46">
        <f>'Kalkulace a Porovnání'!Z461</f>
        <v>0</v>
      </c>
      <c r="AA461" s="46">
        <f>'Kalkulace a Porovnání'!AA461</f>
        <v>0</v>
      </c>
      <c r="AB461" s="98">
        <f>'Kalkulace a Porovnání'!AB461</f>
        <v>0</v>
      </c>
      <c r="AC461" s="183"/>
      <c r="AD461" s="547"/>
      <c r="AG461" s="184"/>
      <c r="AH461" s="184"/>
      <c r="AI461" s="342"/>
      <c r="AJ461" s="342"/>
      <c r="AK461" s="547"/>
      <c r="AL461" s="183"/>
    </row>
    <row r="462" spans="2:38" x14ac:dyDescent="0.25">
      <c r="B462" s="12" t="s">
        <v>59</v>
      </c>
      <c r="C462" s="13" t="s">
        <v>112</v>
      </c>
      <c r="D462" s="3" t="s">
        <v>10</v>
      </c>
      <c r="E462" s="437">
        <f>'Kalkulace a Porovnání'!E462</f>
        <v>0</v>
      </c>
      <c r="F462" s="437">
        <f>'Kalkulace a Porovnání'!F462</f>
        <v>0</v>
      </c>
      <c r="G462" s="437">
        <f>'Kalkulace a Porovnání'!G462</f>
        <v>0</v>
      </c>
      <c r="H462" s="438">
        <f>'Kalkulace a Porovnání'!H462</f>
        <v>0</v>
      </c>
      <c r="K462" s="12" t="s">
        <v>59</v>
      </c>
      <c r="L462" s="13" t="s">
        <v>112</v>
      </c>
      <c r="M462" s="3" t="s">
        <v>10</v>
      </c>
      <c r="N462" s="437">
        <f>'Kalkulace a Porovnání'!N462</f>
        <v>0</v>
      </c>
      <c r="O462" s="437">
        <f>'Kalkulace a Porovnání'!O462</f>
        <v>0</v>
      </c>
      <c r="P462" s="437">
        <f>'Kalkulace a Porovnání'!P462</f>
        <v>0</v>
      </c>
      <c r="Q462" s="438">
        <f>'Kalkulace a Porovnání'!Q462</f>
        <v>0</v>
      </c>
      <c r="T462" s="12" t="s">
        <v>59</v>
      </c>
      <c r="U462" s="13" t="s">
        <v>112</v>
      </c>
      <c r="V462" s="3" t="s">
        <v>10</v>
      </c>
      <c r="W462" s="437">
        <f>'Kalkulace a Porovnání'!W462</f>
        <v>0</v>
      </c>
      <c r="X462" s="437">
        <f>'Kalkulace a Porovnání'!X462</f>
        <v>0</v>
      </c>
      <c r="Y462" s="437">
        <f>'Kalkulace a Porovnání'!Y462</f>
        <v>0</v>
      </c>
      <c r="Z462" s="437">
        <f>'Kalkulace a Porovnání'!Z462</f>
        <v>0</v>
      </c>
      <c r="AA462" s="437">
        <f>'Kalkulace a Porovnání'!AA462</f>
        <v>0</v>
      </c>
      <c r="AB462" s="438">
        <f>'Kalkulace a Porovnání'!AB462</f>
        <v>0</v>
      </c>
      <c r="AC462" s="183"/>
      <c r="AD462" s="547"/>
      <c r="AG462" s="973"/>
      <c r="AH462" s="973"/>
      <c r="AI462" s="342"/>
      <c r="AJ462" s="342"/>
      <c r="AK462" s="547"/>
      <c r="AL462" s="183"/>
    </row>
    <row r="463" spans="2:38" x14ac:dyDescent="0.25">
      <c r="B463" s="12" t="s">
        <v>60</v>
      </c>
      <c r="C463" s="13" t="s">
        <v>113</v>
      </c>
      <c r="D463" s="3" t="s">
        <v>10</v>
      </c>
      <c r="E463" s="437">
        <f>'Kalkulace a Porovnání'!E463</f>
        <v>0</v>
      </c>
      <c r="F463" s="437">
        <f>'Kalkulace a Porovnání'!F463</f>
        <v>0</v>
      </c>
      <c r="G463" s="437">
        <f>'Kalkulace a Porovnání'!G463</f>
        <v>0</v>
      </c>
      <c r="H463" s="438">
        <f>'Kalkulace a Porovnání'!H463</f>
        <v>0</v>
      </c>
      <c r="K463" s="12" t="s">
        <v>60</v>
      </c>
      <c r="L463" s="13" t="s">
        <v>113</v>
      </c>
      <c r="M463" s="3" t="s">
        <v>10</v>
      </c>
      <c r="N463" s="437">
        <f>'Kalkulace a Porovnání'!N463</f>
        <v>0</v>
      </c>
      <c r="O463" s="437">
        <f>'Kalkulace a Porovnání'!O463</f>
        <v>0</v>
      </c>
      <c r="P463" s="437">
        <f>'Kalkulace a Porovnání'!P463</f>
        <v>0</v>
      </c>
      <c r="Q463" s="438">
        <f>'Kalkulace a Porovnání'!Q463</f>
        <v>0</v>
      </c>
      <c r="T463" s="12" t="s">
        <v>60</v>
      </c>
      <c r="U463" s="13" t="s">
        <v>113</v>
      </c>
      <c r="V463" s="3" t="s">
        <v>10</v>
      </c>
      <c r="W463" s="437">
        <f>'Kalkulace a Porovnání'!W463</f>
        <v>0</v>
      </c>
      <c r="X463" s="437">
        <f>'Kalkulace a Porovnání'!X463</f>
        <v>0</v>
      </c>
      <c r="Y463" s="437">
        <f>'Kalkulace a Porovnání'!Y463</f>
        <v>0</v>
      </c>
      <c r="Z463" s="437">
        <f>'Kalkulace a Porovnání'!Z463</f>
        <v>0</v>
      </c>
      <c r="AA463" s="437">
        <f>'Kalkulace a Porovnání'!AA463</f>
        <v>0</v>
      </c>
      <c r="AB463" s="438">
        <f>'Kalkulace a Porovnání'!AB463</f>
        <v>0</v>
      </c>
      <c r="AC463" s="183"/>
      <c r="AD463" s="547"/>
      <c r="AG463" s="973"/>
      <c r="AH463" s="973"/>
      <c r="AI463" s="342"/>
      <c r="AJ463" s="342"/>
      <c r="AK463" s="547"/>
      <c r="AL463" s="183"/>
    </row>
    <row r="464" spans="2:38" x14ac:dyDescent="0.25">
      <c r="B464" s="12" t="s">
        <v>61</v>
      </c>
      <c r="C464" s="13" t="s">
        <v>62</v>
      </c>
      <c r="D464" s="3" t="s">
        <v>63</v>
      </c>
      <c r="E464" s="439">
        <f>'Kalkulace a Porovnání'!E464</f>
        <v>0</v>
      </c>
      <c r="F464" s="439">
        <f>'Kalkulace a Porovnání'!F464</f>
        <v>0</v>
      </c>
      <c r="G464" s="439">
        <f>'Kalkulace a Porovnání'!G464</f>
        <v>0</v>
      </c>
      <c r="H464" s="440">
        <f>'Kalkulace a Porovnání'!H464</f>
        <v>0</v>
      </c>
      <c r="K464" s="12" t="s">
        <v>61</v>
      </c>
      <c r="L464" s="13" t="s">
        <v>62</v>
      </c>
      <c r="M464" s="3" t="s">
        <v>63</v>
      </c>
      <c r="N464" s="439">
        <f>'Kalkulace a Porovnání'!N464</f>
        <v>0</v>
      </c>
      <c r="O464" s="439">
        <f>'Kalkulace a Porovnání'!O464</f>
        <v>0</v>
      </c>
      <c r="P464" s="439">
        <f>'Kalkulace a Porovnání'!P464</f>
        <v>0</v>
      </c>
      <c r="Q464" s="440">
        <f>'Kalkulace a Porovnání'!Q464</f>
        <v>0</v>
      </c>
      <c r="T464" s="12" t="s">
        <v>61</v>
      </c>
      <c r="U464" s="13" t="s">
        <v>62</v>
      </c>
      <c r="V464" s="3" t="s">
        <v>63</v>
      </c>
      <c r="W464" s="439">
        <f>'Kalkulace a Porovnání'!W464</f>
        <v>0</v>
      </c>
      <c r="X464" s="439">
        <f>'Kalkulace a Porovnání'!X464</f>
        <v>0</v>
      </c>
      <c r="Y464" s="439">
        <f>'Kalkulace a Porovnání'!Y464</f>
        <v>0</v>
      </c>
      <c r="Z464" s="439">
        <f>'Kalkulace a Porovnání'!Z464</f>
        <v>0</v>
      </c>
      <c r="AA464" s="439">
        <f>'Kalkulace a Porovnání'!AA464</f>
        <v>0</v>
      </c>
      <c r="AB464" s="440">
        <f>'Kalkulace a Porovnání'!AB464</f>
        <v>0</v>
      </c>
      <c r="AC464" s="183"/>
      <c r="AD464" s="547"/>
      <c r="AG464" s="972"/>
      <c r="AH464" s="972"/>
      <c r="AI464" s="342"/>
      <c r="AJ464" s="342"/>
      <c r="AK464" s="547"/>
      <c r="AL464" s="183"/>
    </row>
    <row r="465" spans="2:38" x14ac:dyDescent="0.25">
      <c r="B465" s="12" t="s">
        <v>64</v>
      </c>
      <c r="C465" s="13" t="s">
        <v>65</v>
      </c>
      <c r="D465" s="3" t="s">
        <v>66</v>
      </c>
      <c r="E465" s="49">
        <f>'Kalkulace a Porovnání'!E465</f>
        <v>0</v>
      </c>
      <c r="F465" s="49">
        <f>'Kalkulace a Porovnání'!F465</f>
        <v>0</v>
      </c>
      <c r="G465" s="49">
        <f>'Kalkulace a Porovnání'!G465</f>
        <v>0</v>
      </c>
      <c r="H465" s="32">
        <f>'Kalkulace a Porovnání'!H465</f>
        <v>0</v>
      </c>
      <c r="K465" s="12" t="s">
        <v>64</v>
      </c>
      <c r="L465" s="13" t="s">
        <v>65</v>
      </c>
      <c r="M465" s="3" t="s">
        <v>66</v>
      </c>
      <c r="N465" s="49">
        <f>'Kalkulace a Porovnání'!N465</f>
        <v>0</v>
      </c>
      <c r="O465" s="49">
        <f>'Kalkulace a Porovnání'!O465</f>
        <v>0</v>
      </c>
      <c r="P465" s="49">
        <f>'Kalkulace a Porovnání'!P465</f>
        <v>0</v>
      </c>
      <c r="Q465" s="32">
        <f>'Kalkulace a Porovnání'!Q465</f>
        <v>0</v>
      </c>
      <c r="T465" s="12" t="s">
        <v>64</v>
      </c>
      <c r="U465" s="13" t="s">
        <v>65</v>
      </c>
      <c r="V465" s="3" t="s">
        <v>66</v>
      </c>
      <c r="W465" s="49">
        <f>'Kalkulace a Porovnání'!W465</f>
        <v>0</v>
      </c>
      <c r="X465" s="49">
        <f>'Kalkulace a Porovnání'!X465</f>
        <v>0</v>
      </c>
      <c r="Y465" s="49">
        <f>'Kalkulace a Porovnání'!Y465</f>
        <v>0</v>
      </c>
      <c r="Z465" s="49">
        <f>'Kalkulace a Porovnání'!Z465</f>
        <v>0</v>
      </c>
      <c r="AA465" s="49">
        <f>'Kalkulace a Porovnání'!AA465</f>
        <v>0</v>
      </c>
      <c r="AB465" s="32">
        <f>'Kalkulace a Porovnání'!AB465</f>
        <v>0</v>
      </c>
      <c r="AC465" s="183"/>
      <c r="AD465" s="547"/>
      <c r="AG465" s="972"/>
      <c r="AH465" s="972"/>
      <c r="AI465" s="342"/>
      <c r="AJ465" s="342"/>
      <c r="AK465" s="547"/>
      <c r="AL465" s="183"/>
    </row>
    <row r="466" spans="2:38" x14ac:dyDescent="0.25">
      <c r="B466" s="12" t="s">
        <v>67</v>
      </c>
      <c r="C466" s="13" t="s">
        <v>68</v>
      </c>
      <c r="D466" s="3" t="s">
        <v>66</v>
      </c>
      <c r="E466" s="49">
        <f>'Kalkulace a Porovnání'!E466</f>
        <v>0</v>
      </c>
      <c r="F466" s="49">
        <f>'Kalkulace a Porovnání'!F466</f>
        <v>0</v>
      </c>
      <c r="G466" s="49">
        <f>'Kalkulace a Porovnání'!G466</f>
        <v>0</v>
      </c>
      <c r="H466" s="32">
        <f>'Kalkulace a Porovnání'!H466</f>
        <v>0</v>
      </c>
      <c r="K466" s="12" t="s">
        <v>67</v>
      </c>
      <c r="L466" s="13" t="s">
        <v>68</v>
      </c>
      <c r="M466" s="3" t="s">
        <v>66</v>
      </c>
      <c r="N466" s="49">
        <f>'Kalkulace a Porovnání'!N466</f>
        <v>0</v>
      </c>
      <c r="O466" s="49">
        <f>'Kalkulace a Porovnání'!O466</f>
        <v>0</v>
      </c>
      <c r="P466" s="49">
        <f>'Kalkulace a Porovnání'!P466</f>
        <v>0</v>
      </c>
      <c r="Q466" s="32">
        <f>'Kalkulace a Porovnání'!Q466</f>
        <v>0</v>
      </c>
      <c r="T466" s="12" t="s">
        <v>67</v>
      </c>
      <c r="U466" s="13" t="s">
        <v>68</v>
      </c>
      <c r="V466" s="3" t="s">
        <v>66</v>
      </c>
      <c r="W466" s="49">
        <f>'Kalkulace a Porovnání'!W466</f>
        <v>0</v>
      </c>
      <c r="X466" s="49">
        <f>'Kalkulace a Porovnání'!X466</f>
        <v>0</v>
      </c>
      <c r="Y466" s="49">
        <f>'Kalkulace a Porovnání'!Y466</f>
        <v>0</v>
      </c>
      <c r="Z466" s="49">
        <f>'Kalkulace a Porovnání'!Z466</f>
        <v>0</v>
      </c>
      <c r="AA466" s="49">
        <f>'Kalkulace a Porovnání'!AA466</f>
        <v>0</v>
      </c>
      <c r="AB466" s="32">
        <f>'Kalkulace a Porovnání'!AB466</f>
        <v>0</v>
      </c>
      <c r="AC466" s="183"/>
      <c r="AD466" s="547"/>
      <c r="AG466" s="184"/>
      <c r="AH466" s="184"/>
      <c r="AI466" s="342"/>
      <c r="AJ466" s="342"/>
      <c r="AK466" s="547"/>
      <c r="AL466" s="183"/>
    </row>
    <row r="467" spans="2:38" x14ac:dyDescent="0.25">
      <c r="B467" s="12" t="s">
        <v>69</v>
      </c>
      <c r="C467" s="13" t="s">
        <v>70</v>
      </c>
      <c r="D467" s="3" t="s">
        <v>66</v>
      </c>
      <c r="E467" s="49">
        <f>'Kalkulace a Porovnání'!E467</f>
        <v>0</v>
      </c>
      <c r="F467" s="49">
        <f>'Kalkulace a Porovnání'!F467</f>
        <v>0</v>
      </c>
      <c r="G467" s="49">
        <f>'Kalkulace a Porovnání'!G467</f>
        <v>0</v>
      </c>
      <c r="H467" s="32">
        <f>'Kalkulace a Porovnání'!H467</f>
        <v>0</v>
      </c>
      <c r="K467" s="12" t="s">
        <v>69</v>
      </c>
      <c r="L467" s="13" t="s">
        <v>70</v>
      </c>
      <c r="M467" s="3" t="s">
        <v>66</v>
      </c>
      <c r="N467" s="49">
        <f>'Kalkulace a Porovnání'!N467</f>
        <v>0</v>
      </c>
      <c r="O467" s="49">
        <f>'Kalkulace a Porovnání'!O467</f>
        <v>0</v>
      </c>
      <c r="P467" s="49">
        <f>'Kalkulace a Porovnání'!P467</f>
        <v>0</v>
      </c>
      <c r="Q467" s="32">
        <f>'Kalkulace a Porovnání'!Q467</f>
        <v>0</v>
      </c>
      <c r="T467" s="12" t="s">
        <v>69</v>
      </c>
      <c r="U467" s="13" t="s">
        <v>70</v>
      </c>
      <c r="V467" s="3" t="s">
        <v>66</v>
      </c>
      <c r="W467" s="49">
        <f>'Kalkulace a Porovnání'!W467</f>
        <v>0</v>
      </c>
      <c r="X467" s="49">
        <f>'Kalkulace a Porovnání'!X467</f>
        <v>0</v>
      </c>
      <c r="Y467" s="49">
        <f>'Kalkulace a Porovnání'!Y467</f>
        <v>0</v>
      </c>
      <c r="Z467" s="49">
        <f>'Kalkulace a Porovnání'!Z467</f>
        <v>0</v>
      </c>
      <c r="AA467" s="49">
        <f>'Kalkulace a Porovnání'!AA467</f>
        <v>0</v>
      </c>
      <c r="AB467" s="32">
        <f>'Kalkulace a Porovnání'!AB467</f>
        <v>0</v>
      </c>
      <c r="AC467" s="183"/>
      <c r="AD467" s="547"/>
      <c r="AG467" s="549"/>
      <c r="AH467" s="549"/>
      <c r="AI467" s="342"/>
      <c r="AJ467" s="342"/>
      <c r="AK467" s="547"/>
      <c r="AL467" s="183"/>
    </row>
    <row r="468" spans="2:38" x14ac:dyDescent="0.25">
      <c r="B468" s="12" t="s">
        <v>71</v>
      </c>
      <c r="C468" s="13" t="s">
        <v>68</v>
      </c>
      <c r="D468" s="3" t="s">
        <v>66</v>
      </c>
      <c r="E468" s="49">
        <f>'Kalkulace a Porovnání'!E468</f>
        <v>0</v>
      </c>
      <c r="F468" s="49">
        <f>'Kalkulace a Porovnání'!F468</f>
        <v>0</v>
      </c>
      <c r="G468" s="49">
        <f>'Kalkulace a Porovnání'!G468</f>
        <v>0</v>
      </c>
      <c r="H468" s="32">
        <f>'Kalkulace a Porovnání'!H468</f>
        <v>0</v>
      </c>
      <c r="K468" s="12" t="s">
        <v>71</v>
      </c>
      <c r="L468" s="13" t="s">
        <v>68</v>
      </c>
      <c r="M468" s="3" t="s">
        <v>66</v>
      </c>
      <c r="N468" s="49">
        <f>'Kalkulace a Porovnání'!N468</f>
        <v>0</v>
      </c>
      <c r="O468" s="49">
        <f>'Kalkulace a Porovnání'!O468</f>
        <v>0</v>
      </c>
      <c r="P468" s="49">
        <f>'Kalkulace a Porovnání'!P468</f>
        <v>0</v>
      </c>
      <c r="Q468" s="32">
        <f>'Kalkulace a Porovnání'!Q468</f>
        <v>0</v>
      </c>
      <c r="T468" s="12" t="s">
        <v>71</v>
      </c>
      <c r="U468" s="13" t="s">
        <v>68</v>
      </c>
      <c r="V468" s="3" t="s">
        <v>66</v>
      </c>
      <c r="W468" s="49">
        <f>'Kalkulace a Porovnání'!W468</f>
        <v>0</v>
      </c>
      <c r="X468" s="49">
        <f>'Kalkulace a Porovnání'!X468</f>
        <v>0</v>
      </c>
      <c r="Y468" s="49">
        <f>'Kalkulace a Porovnání'!Y468</f>
        <v>0</v>
      </c>
      <c r="Z468" s="49">
        <f>'Kalkulace a Porovnání'!Z468</f>
        <v>0</v>
      </c>
      <c r="AA468" s="49">
        <f>'Kalkulace a Porovnání'!AA468</f>
        <v>0</v>
      </c>
      <c r="AB468" s="32">
        <f>'Kalkulace a Porovnání'!AB468</f>
        <v>0</v>
      </c>
      <c r="AC468" s="183"/>
      <c r="AD468" s="547"/>
      <c r="AG468" s="546"/>
      <c r="AH468" s="546"/>
      <c r="AI468" s="342"/>
      <c r="AJ468" s="342"/>
      <c r="AK468" s="547"/>
      <c r="AL468" s="183"/>
    </row>
    <row r="469" spans="2:38" x14ac:dyDescent="0.25">
      <c r="B469" s="12" t="s">
        <v>72</v>
      </c>
      <c r="C469" s="13" t="s">
        <v>73</v>
      </c>
      <c r="D469" s="3" t="s">
        <v>66</v>
      </c>
      <c r="E469" s="49">
        <f>'Kalkulace a Porovnání'!E469</f>
        <v>0</v>
      </c>
      <c r="F469" s="49">
        <f>'Kalkulace a Porovnání'!F469</f>
        <v>0</v>
      </c>
      <c r="G469" s="49">
        <f>'Kalkulace a Porovnání'!G469</f>
        <v>0</v>
      </c>
      <c r="H469" s="32">
        <f>'Kalkulace a Porovnání'!H469</f>
        <v>0</v>
      </c>
      <c r="K469" s="12" t="s">
        <v>72</v>
      </c>
      <c r="L469" s="13" t="s">
        <v>73</v>
      </c>
      <c r="M469" s="3" t="s">
        <v>66</v>
      </c>
      <c r="N469" s="49">
        <f>'Kalkulace a Porovnání'!N469</f>
        <v>0</v>
      </c>
      <c r="O469" s="49">
        <f>'Kalkulace a Porovnání'!O469</f>
        <v>0</v>
      </c>
      <c r="P469" s="49">
        <f>'Kalkulace a Porovnání'!P469</f>
        <v>0</v>
      </c>
      <c r="Q469" s="32">
        <f>'Kalkulace a Porovnání'!Q469</f>
        <v>0</v>
      </c>
      <c r="T469" s="12" t="s">
        <v>72</v>
      </c>
      <c r="U469" s="13" t="s">
        <v>73</v>
      </c>
      <c r="V469" s="3" t="s">
        <v>66</v>
      </c>
      <c r="W469" s="49">
        <f>'Kalkulace a Porovnání'!W469</f>
        <v>0</v>
      </c>
      <c r="X469" s="49">
        <f>'Kalkulace a Porovnání'!X469</f>
        <v>0</v>
      </c>
      <c r="Y469" s="49">
        <f>'Kalkulace a Porovnání'!Y469</f>
        <v>0</v>
      </c>
      <c r="Z469" s="49">
        <f>'Kalkulace a Porovnání'!Z469</f>
        <v>0</v>
      </c>
      <c r="AA469" s="49">
        <f>'Kalkulace a Porovnání'!AA469</f>
        <v>0</v>
      </c>
      <c r="AB469" s="32">
        <f>'Kalkulace a Porovnání'!AB469</f>
        <v>0</v>
      </c>
      <c r="AC469" s="183"/>
      <c r="AD469" s="547"/>
      <c r="AG469" s="184"/>
      <c r="AH469" s="184"/>
      <c r="AI469" s="549"/>
      <c r="AJ469" s="549"/>
      <c r="AK469" s="547"/>
      <c r="AL469" s="183"/>
    </row>
    <row r="470" spans="2:38" x14ac:dyDescent="0.25">
      <c r="B470" s="12" t="s">
        <v>74</v>
      </c>
      <c r="C470" s="13" t="s">
        <v>75</v>
      </c>
      <c r="D470" s="3" t="s">
        <v>66</v>
      </c>
      <c r="E470" s="49">
        <f>'Kalkulace a Porovnání'!E470</f>
        <v>0</v>
      </c>
      <c r="F470" s="49">
        <f>'Kalkulace a Porovnání'!F470</f>
        <v>0</v>
      </c>
      <c r="G470" s="49">
        <f>'Kalkulace a Porovnání'!G470</f>
        <v>0</v>
      </c>
      <c r="H470" s="32">
        <f>'Kalkulace a Porovnání'!H470</f>
        <v>0</v>
      </c>
      <c r="K470" s="12" t="s">
        <v>74</v>
      </c>
      <c r="L470" s="13" t="s">
        <v>75</v>
      </c>
      <c r="M470" s="3" t="s">
        <v>66</v>
      </c>
      <c r="N470" s="49">
        <f>'Kalkulace a Porovnání'!N470</f>
        <v>0</v>
      </c>
      <c r="O470" s="49">
        <f>'Kalkulace a Porovnání'!O470</f>
        <v>0</v>
      </c>
      <c r="P470" s="49">
        <f>'Kalkulace a Porovnání'!P470</f>
        <v>0</v>
      </c>
      <c r="Q470" s="32">
        <f>'Kalkulace a Porovnání'!Q470</f>
        <v>0</v>
      </c>
      <c r="T470" s="12" t="s">
        <v>74</v>
      </c>
      <c r="U470" s="13" t="s">
        <v>75</v>
      </c>
      <c r="V470" s="3" t="s">
        <v>66</v>
      </c>
      <c r="W470" s="49">
        <f>'Kalkulace a Porovnání'!W470</f>
        <v>0</v>
      </c>
      <c r="X470" s="49">
        <f>'Kalkulace a Porovnání'!X470</f>
        <v>0</v>
      </c>
      <c r="Y470" s="49">
        <f>'Kalkulace a Porovnání'!Y470</f>
        <v>0</v>
      </c>
      <c r="Z470" s="49">
        <f>'Kalkulace a Porovnání'!Z470</f>
        <v>0</v>
      </c>
      <c r="AA470" s="49">
        <f>'Kalkulace a Porovnání'!AA470</f>
        <v>0</v>
      </c>
      <c r="AB470" s="32">
        <f>'Kalkulace a Porovnání'!AB470</f>
        <v>0</v>
      </c>
      <c r="AC470" s="183"/>
      <c r="AD470" s="547"/>
      <c r="AG470" s="184"/>
      <c r="AH470" s="184"/>
      <c r="AI470" s="549"/>
      <c r="AJ470" s="549"/>
      <c r="AK470" s="547"/>
      <c r="AL470" s="183"/>
    </row>
    <row r="471" spans="2:38" x14ac:dyDescent="0.25">
      <c r="B471" s="12" t="s">
        <v>76</v>
      </c>
      <c r="C471" s="13" t="s">
        <v>77</v>
      </c>
      <c r="D471" s="3" t="s">
        <v>66</v>
      </c>
      <c r="E471" s="49">
        <f>'Kalkulace a Porovnání'!E471</f>
        <v>0</v>
      </c>
      <c r="F471" s="49">
        <f>'Kalkulace a Porovnání'!F471</f>
        <v>0</v>
      </c>
      <c r="G471" s="49">
        <f>'Kalkulace a Porovnání'!G471</f>
        <v>0</v>
      </c>
      <c r="H471" s="32">
        <f>'Kalkulace a Porovnání'!H471</f>
        <v>0</v>
      </c>
      <c r="K471" s="12" t="s">
        <v>76</v>
      </c>
      <c r="L471" s="13" t="s">
        <v>77</v>
      </c>
      <c r="M471" s="3" t="s">
        <v>66</v>
      </c>
      <c r="N471" s="49">
        <f>'Kalkulace a Porovnání'!N471</f>
        <v>0</v>
      </c>
      <c r="O471" s="49">
        <f>'Kalkulace a Porovnání'!O471</f>
        <v>0</v>
      </c>
      <c r="P471" s="49">
        <f>'Kalkulace a Porovnání'!P471</f>
        <v>0</v>
      </c>
      <c r="Q471" s="32">
        <f>'Kalkulace a Porovnání'!Q471</f>
        <v>0</v>
      </c>
      <c r="T471" s="12" t="s">
        <v>76</v>
      </c>
      <c r="U471" s="13" t="s">
        <v>77</v>
      </c>
      <c r="V471" s="3" t="s">
        <v>66</v>
      </c>
      <c r="W471" s="49">
        <f>'Kalkulace a Porovnání'!W471</f>
        <v>0</v>
      </c>
      <c r="X471" s="49">
        <f>'Kalkulace a Porovnání'!X471</f>
        <v>0</v>
      </c>
      <c r="Y471" s="49">
        <f>'Kalkulace a Porovnání'!Y471</f>
        <v>0</v>
      </c>
      <c r="Z471" s="49">
        <f>'Kalkulace a Porovnání'!Z471</f>
        <v>0</v>
      </c>
      <c r="AA471" s="49">
        <f>'Kalkulace a Porovnání'!AA471</f>
        <v>0</v>
      </c>
      <c r="AB471" s="32">
        <f>'Kalkulace a Porovnání'!AB471</f>
        <v>0</v>
      </c>
      <c r="AC471" s="183"/>
      <c r="AD471" s="547"/>
      <c r="AG471" s="184"/>
      <c r="AH471" s="184"/>
      <c r="AI471" s="549"/>
      <c r="AJ471" s="549"/>
      <c r="AK471" s="547"/>
      <c r="AL471" s="183"/>
    </row>
    <row r="472" spans="2:38" x14ac:dyDescent="0.25">
      <c r="B472" s="12" t="s">
        <v>78</v>
      </c>
      <c r="C472" s="13" t="s">
        <v>79</v>
      </c>
      <c r="D472" s="3" t="s">
        <v>66</v>
      </c>
      <c r="E472" s="49">
        <f>'Kalkulace a Porovnání'!E472</f>
        <v>0</v>
      </c>
      <c r="F472" s="49">
        <f>'Kalkulace a Porovnání'!F472</f>
        <v>0</v>
      </c>
      <c r="G472" s="49">
        <f>'Kalkulace a Porovnání'!G472</f>
        <v>0</v>
      </c>
      <c r="H472" s="32">
        <f>'Kalkulace a Porovnání'!H472</f>
        <v>0</v>
      </c>
      <c r="K472" s="12" t="s">
        <v>78</v>
      </c>
      <c r="L472" s="13" t="s">
        <v>79</v>
      </c>
      <c r="M472" s="3" t="s">
        <v>66</v>
      </c>
      <c r="N472" s="49">
        <f>'Kalkulace a Porovnání'!N472</f>
        <v>0</v>
      </c>
      <c r="O472" s="49">
        <f>'Kalkulace a Porovnání'!O472</f>
        <v>0</v>
      </c>
      <c r="P472" s="49">
        <f>'Kalkulace a Porovnání'!P472</f>
        <v>0</v>
      </c>
      <c r="Q472" s="32">
        <f>'Kalkulace a Porovnání'!Q472</f>
        <v>0</v>
      </c>
      <c r="T472" s="12" t="s">
        <v>78</v>
      </c>
      <c r="U472" s="13" t="s">
        <v>79</v>
      </c>
      <c r="V472" s="3" t="s">
        <v>66</v>
      </c>
      <c r="W472" s="49">
        <f>'Kalkulace a Porovnání'!W472</f>
        <v>0</v>
      </c>
      <c r="X472" s="49">
        <f>'Kalkulace a Porovnání'!X472</f>
        <v>0</v>
      </c>
      <c r="Y472" s="49">
        <f>'Kalkulace a Porovnání'!Y472</f>
        <v>0</v>
      </c>
      <c r="Z472" s="49">
        <f>'Kalkulace a Porovnání'!Z472</f>
        <v>0</v>
      </c>
      <c r="AA472" s="49">
        <f>'Kalkulace a Porovnání'!AA472</f>
        <v>0</v>
      </c>
      <c r="AB472" s="32">
        <f>'Kalkulace a Porovnání'!AB472</f>
        <v>0</v>
      </c>
      <c r="AC472" s="183"/>
      <c r="AD472" s="547"/>
      <c r="AG472" s="421"/>
      <c r="AH472" s="421"/>
      <c r="AI472" s="342"/>
      <c r="AJ472" s="342"/>
      <c r="AK472" s="547"/>
      <c r="AL472" s="183"/>
    </row>
    <row r="473" spans="2:38" x14ac:dyDescent="0.25">
      <c r="B473" s="1"/>
      <c r="C473" s="1"/>
      <c r="D473" s="1"/>
      <c r="E473" s="1"/>
      <c r="F473" s="1"/>
      <c r="G473" s="1"/>
      <c r="H473" s="1"/>
      <c r="K473" s="1"/>
      <c r="L473" s="1"/>
      <c r="M473" s="1"/>
      <c r="N473" s="1"/>
      <c r="O473" s="1"/>
      <c r="P473" s="1"/>
      <c r="Q473" s="1"/>
      <c r="T473" s="1"/>
      <c r="U473" s="1"/>
      <c r="V473" s="1"/>
      <c r="W473" s="1"/>
      <c r="X473" s="1"/>
      <c r="Y473" s="1"/>
      <c r="Z473" s="1"/>
      <c r="AA473" s="1"/>
      <c r="AB473" s="1"/>
      <c r="AC473" s="183"/>
      <c r="AD473" s="547"/>
      <c r="AG473" s="547"/>
      <c r="AH473" s="547"/>
      <c r="AI473" s="547"/>
      <c r="AJ473" s="547"/>
      <c r="AK473" s="547"/>
      <c r="AL473" s="183"/>
    </row>
    <row r="474" spans="2:38" x14ac:dyDescent="0.25">
      <c r="B474" s="932" t="s">
        <v>5</v>
      </c>
      <c r="C474" s="721" t="s">
        <v>80</v>
      </c>
      <c r="D474" s="722"/>
      <c r="E474" s="723"/>
      <c r="F474" s="724"/>
      <c r="G474" s="722"/>
      <c r="H474" s="725"/>
      <c r="K474" s="932" t="s">
        <v>5</v>
      </c>
      <c r="L474" s="721" t="s">
        <v>80</v>
      </c>
      <c r="M474" s="722"/>
      <c r="N474" s="723"/>
      <c r="O474" s="724"/>
      <c r="P474" s="722"/>
      <c r="Q474" s="725"/>
      <c r="T474" s="771" t="s">
        <v>5</v>
      </c>
      <c r="U474" s="721" t="s">
        <v>80</v>
      </c>
      <c r="V474" s="722"/>
      <c r="W474" s="723"/>
      <c r="X474" s="723"/>
      <c r="Y474" s="724"/>
      <c r="Z474" s="722"/>
      <c r="AA474" s="722"/>
      <c r="AB474" s="725"/>
      <c r="AC474" s="183"/>
      <c r="AD474" s="547"/>
      <c r="AG474" s="547"/>
      <c r="AH474" s="547"/>
      <c r="AI474" s="547"/>
      <c r="AJ474" s="547"/>
      <c r="AK474" s="547"/>
      <c r="AL474" s="183"/>
    </row>
    <row r="475" spans="2:38" x14ac:dyDescent="0.25">
      <c r="B475" s="930"/>
      <c r="C475" s="932" t="s">
        <v>81</v>
      </c>
      <c r="D475" s="929" t="s">
        <v>173</v>
      </c>
      <c r="E475" s="874" t="s">
        <v>118</v>
      </c>
      <c r="F475" s="937"/>
      <c r="G475" s="26" t="s">
        <v>3</v>
      </c>
      <c r="H475" s="23" t="s">
        <v>4</v>
      </c>
      <c r="K475" s="930"/>
      <c r="L475" s="5" t="s">
        <v>81</v>
      </c>
      <c r="M475" s="929" t="s">
        <v>173</v>
      </c>
      <c r="N475" s="874" t="s">
        <v>118</v>
      </c>
      <c r="O475" s="937"/>
      <c r="P475" s="26" t="s">
        <v>3</v>
      </c>
      <c r="Q475" s="23" t="s">
        <v>4</v>
      </c>
      <c r="T475" s="934"/>
      <c r="U475" s="932" t="s">
        <v>81</v>
      </c>
      <c r="V475" s="929" t="s">
        <v>173</v>
      </c>
      <c r="W475" s="874" t="s">
        <v>118</v>
      </c>
      <c r="X475" s="937"/>
      <c r="Y475" s="874" t="s">
        <v>3</v>
      </c>
      <c r="Z475" s="939"/>
      <c r="AA475" s="940" t="s">
        <v>4</v>
      </c>
      <c r="AB475" s="940"/>
      <c r="AC475" s="183"/>
      <c r="AD475" s="547"/>
      <c r="AG475" s="547"/>
      <c r="AH475" s="547"/>
      <c r="AI475" s="547"/>
      <c r="AJ475" s="547"/>
      <c r="AK475" s="547"/>
      <c r="AL475" s="183"/>
    </row>
    <row r="476" spans="2:38" x14ac:dyDescent="0.25">
      <c r="B476" s="931"/>
      <c r="C476" s="931"/>
      <c r="D476" s="936"/>
      <c r="E476" s="875"/>
      <c r="F476" s="938"/>
      <c r="G476" s="27" t="s">
        <v>7</v>
      </c>
      <c r="H476" s="24" t="s">
        <v>7</v>
      </c>
      <c r="K476" s="931"/>
      <c r="L476" s="8"/>
      <c r="M476" s="936"/>
      <c r="N476" s="875"/>
      <c r="O476" s="938"/>
      <c r="P476" s="27" t="s">
        <v>7</v>
      </c>
      <c r="Q476" s="24" t="s">
        <v>7</v>
      </c>
      <c r="T476" s="935"/>
      <c r="U476" s="931"/>
      <c r="V476" s="936"/>
      <c r="W476" s="875"/>
      <c r="X476" s="938"/>
      <c r="Y476" s="40" t="s">
        <v>196</v>
      </c>
      <c r="Z476" s="40" t="s">
        <v>7</v>
      </c>
      <c r="AA476" s="40" t="s">
        <v>196</v>
      </c>
      <c r="AB476" s="40" t="s">
        <v>7</v>
      </c>
      <c r="AC476" s="183"/>
      <c r="AD476" s="547"/>
      <c r="AG476" s="547"/>
      <c r="AH476" s="547"/>
      <c r="AI476" s="547"/>
      <c r="AJ476" s="547"/>
      <c r="AK476" s="547"/>
      <c r="AL476" s="183"/>
    </row>
    <row r="477" spans="2:38" x14ac:dyDescent="0.25">
      <c r="B477" s="11">
        <v>1</v>
      </c>
      <c r="C477" s="11">
        <v>2</v>
      </c>
      <c r="D477" s="11" t="s">
        <v>111</v>
      </c>
      <c r="E477" s="735" t="s">
        <v>115</v>
      </c>
      <c r="F477" s="736"/>
      <c r="G477" s="11" t="s">
        <v>116</v>
      </c>
      <c r="H477" s="22" t="s">
        <v>117</v>
      </c>
      <c r="K477" s="11">
        <v>1</v>
      </c>
      <c r="L477" s="11">
        <v>2</v>
      </c>
      <c r="M477" s="11" t="s">
        <v>111</v>
      </c>
      <c r="N477" s="735" t="s">
        <v>115</v>
      </c>
      <c r="O477" s="736"/>
      <c r="P477" s="11" t="s">
        <v>116</v>
      </c>
      <c r="Q477" s="22" t="s">
        <v>117</v>
      </c>
      <c r="T477" s="11">
        <v>1</v>
      </c>
      <c r="U477" s="11">
        <v>2</v>
      </c>
      <c r="V477" s="11" t="s">
        <v>111</v>
      </c>
      <c r="W477" s="944" t="s">
        <v>115</v>
      </c>
      <c r="X477" s="945"/>
      <c r="Y477" s="11" t="s">
        <v>201</v>
      </c>
      <c r="Z477" s="11" t="s">
        <v>116</v>
      </c>
      <c r="AA477" s="11" t="s">
        <v>200</v>
      </c>
      <c r="AB477" s="22" t="s">
        <v>117</v>
      </c>
      <c r="AC477" s="183"/>
      <c r="AD477" s="547"/>
      <c r="AG477" s="547"/>
      <c r="AH477" s="547"/>
      <c r="AI477" s="547"/>
      <c r="AJ477" s="547"/>
      <c r="AK477" s="547"/>
      <c r="AL477" s="183"/>
    </row>
    <row r="478" spans="2:38" x14ac:dyDescent="0.25">
      <c r="B478" s="12" t="s">
        <v>82</v>
      </c>
      <c r="C478" s="13" t="s">
        <v>127</v>
      </c>
      <c r="D478" s="13" t="s">
        <v>83</v>
      </c>
      <c r="E478" s="732" t="s">
        <v>120</v>
      </c>
      <c r="F478" s="733"/>
      <c r="G478" s="172">
        <f>'Kalkulace a Porovnání'!G478</f>
        <v>0</v>
      </c>
      <c r="H478" s="172">
        <f>'Kalkulace a Porovnání'!H478</f>
        <v>0</v>
      </c>
      <c r="K478" s="12" t="s">
        <v>82</v>
      </c>
      <c r="L478" s="13" t="s">
        <v>127</v>
      </c>
      <c r="M478" s="13" t="s">
        <v>83</v>
      </c>
      <c r="N478" s="732" t="s">
        <v>120</v>
      </c>
      <c r="O478" s="733"/>
      <c r="P478" s="172">
        <f>'Kalkulace a Porovnání'!P478</f>
        <v>0</v>
      </c>
      <c r="Q478" s="172">
        <f>'Kalkulace a Porovnání'!Q478</f>
        <v>0</v>
      </c>
      <c r="T478" s="12" t="s">
        <v>82</v>
      </c>
      <c r="U478" s="13" t="s">
        <v>127</v>
      </c>
      <c r="V478" s="13" t="s">
        <v>83</v>
      </c>
      <c r="W478" s="13" t="s">
        <v>120</v>
      </c>
      <c r="X478" s="101"/>
      <c r="Y478" s="172">
        <f>'Kalkulace a Porovnání'!Y478</f>
        <v>0</v>
      </c>
      <c r="Z478" s="172">
        <f>'Kalkulace a Porovnání'!Z478</f>
        <v>0</v>
      </c>
      <c r="AA478" s="172">
        <f>'Kalkulace a Porovnání'!AA478</f>
        <v>0</v>
      </c>
      <c r="AB478" s="172">
        <f>'Kalkulace a Porovnání'!AB478</f>
        <v>0</v>
      </c>
      <c r="AC478" s="183"/>
      <c r="AD478" s="547"/>
      <c r="AG478" s="547"/>
      <c r="AH478" s="547"/>
      <c r="AI478" s="547"/>
      <c r="AJ478" s="547"/>
      <c r="AK478" s="547"/>
      <c r="AL478" s="183"/>
    </row>
    <row r="479" spans="2:38" x14ac:dyDescent="0.25">
      <c r="B479" s="12" t="s">
        <v>84</v>
      </c>
      <c r="C479" s="13" t="s">
        <v>85</v>
      </c>
      <c r="D479" s="13" t="s">
        <v>10</v>
      </c>
      <c r="E479" s="732" t="s">
        <v>121</v>
      </c>
      <c r="F479" s="733"/>
      <c r="G479" s="449">
        <f>'Kalkulace a Porovnání'!G479</f>
        <v>0</v>
      </c>
      <c r="H479" s="449">
        <f>'Kalkulace a Porovnání'!H479</f>
        <v>0</v>
      </c>
      <c r="K479" s="12" t="s">
        <v>84</v>
      </c>
      <c r="L479" s="13" t="s">
        <v>85</v>
      </c>
      <c r="M479" s="13" t="s">
        <v>10</v>
      </c>
      <c r="N479" s="732" t="s">
        <v>121</v>
      </c>
      <c r="O479" s="733"/>
      <c r="P479" s="449">
        <f>'Kalkulace a Porovnání'!P479</f>
        <v>0</v>
      </c>
      <c r="Q479" s="449">
        <f>'Kalkulace a Porovnání'!Q479</f>
        <v>0</v>
      </c>
      <c r="T479" s="12" t="s">
        <v>84</v>
      </c>
      <c r="U479" s="13" t="s">
        <v>85</v>
      </c>
      <c r="V479" s="13" t="s">
        <v>10</v>
      </c>
      <c r="W479" s="13" t="s">
        <v>121</v>
      </c>
      <c r="X479" s="101"/>
      <c r="Y479" s="449">
        <f>'Kalkulace a Porovnání'!Y479</f>
        <v>0</v>
      </c>
      <c r="Z479" s="449">
        <f>'Kalkulace a Porovnání'!Z479</f>
        <v>0</v>
      </c>
      <c r="AA479" s="449">
        <f>'Kalkulace a Porovnání'!AA479</f>
        <v>0</v>
      </c>
      <c r="AB479" s="449">
        <f>'Kalkulace a Porovnání'!AB479</f>
        <v>0</v>
      </c>
      <c r="AC479" s="183"/>
      <c r="AD479" s="547"/>
      <c r="AG479" s="547"/>
      <c r="AH479" s="547"/>
      <c r="AI479" s="547"/>
      <c r="AJ479" s="547"/>
      <c r="AK479" s="547"/>
      <c r="AL479" s="183"/>
    </row>
    <row r="480" spans="2:38" x14ac:dyDescent="0.25">
      <c r="B480" s="12" t="s">
        <v>86</v>
      </c>
      <c r="C480" s="13" t="s">
        <v>87</v>
      </c>
      <c r="D480" s="13" t="s">
        <v>10</v>
      </c>
      <c r="E480" s="732"/>
      <c r="F480" s="733"/>
      <c r="G480" s="449">
        <f>'Kalkulace a Porovnání'!G480</f>
        <v>0</v>
      </c>
      <c r="H480" s="449">
        <f>'Kalkulace a Porovnání'!H480</f>
        <v>0</v>
      </c>
      <c r="K480" s="12" t="s">
        <v>86</v>
      </c>
      <c r="L480" s="13" t="s">
        <v>87</v>
      </c>
      <c r="M480" s="13" t="s">
        <v>10</v>
      </c>
      <c r="N480" s="732"/>
      <c r="O480" s="733"/>
      <c r="P480" s="449">
        <f>'Kalkulace a Porovnání'!P480</f>
        <v>0</v>
      </c>
      <c r="Q480" s="449">
        <f>'Kalkulace a Porovnání'!Q480</f>
        <v>0</v>
      </c>
      <c r="T480" s="12" t="s">
        <v>86</v>
      </c>
      <c r="U480" s="13" t="s">
        <v>87</v>
      </c>
      <c r="V480" s="13" t="s">
        <v>10</v>
      </c>
      <c r="W480" s="13"/>
      <c r="X480" s="101"/>
      <c r="Y480" s="449">
        <f>'Kalkulace a Porovnání'!Y480</f>
        <v>0</v>
      </c>
      <c r="Z480" s="449">
        <f>'Kalkulace a Porovnání'!Z480</f>
        <v>0</v>
      </c>
      <c r="AA480" s="449">
        <f>'Kalkulace a Porovnání'!AA480</f>
        <v>0</v>
      </c>
      <c r="AB480" s="449">
        <f>'Kalkulace a Porovnání'!AB480</f>
        <v>0</v>
      </c>
      <c r="AC480" s="183"/>
      <c r="AD480" s="547"/>
      <c r="AG480" s="547"/>
      <c r="AH480" s="547"/>
      <c r="AI480" s="547"/>
      <c r="AJ480" s="547"/>
      <c r="AK480" s="547"/>
      <c r="AL480" s="183"/>
    </row>
    <row r="481" spans="2:38" x14ac:dyDescent="0.25">
      <c r="B481" s="12" t="s">
        <v>88</v>
      </c>
      <c r="C481" s="21" t="s">
        <v>89</v>
      </c>
      <c r="D481" s="13" t="s">
        <v>90</v>
      </c>
      <c r="E481" s="732" t="s">
        <v>123</v>
      </c>
      <c r="F481" s="733"/>
      <c r="G481" s="172">
        <f>'Kalkulace a Porovnání'!G481</f>
        <v>0</v>
      </c>
      <c r="H481" s="172">
        <f>'Kalkulace a Porovnání'!H481</f>
        <v>0</v>
      </c>
      <c r="K481" s="12" t="s">
        <v>88</v>
      </c>
      <c r="L481" s="21" t="s">
        <v>89</v>
      </c>
      <c r="M481" s="13" t="s">
        <v>90</v>
      </c>
      <c r="N481" s="732" t="s">
        <v>123</v>
      </c>
      <c r="O481" s="733"/>
      <c r="P481" s="172">
        <f>'Kalkulace a Porovnání'!P481</f>
        <v>0</v>
      </c>
      <c r="Q481" s="172">
        <f>'Kalkulace a Porovnání'!Q481</f>
        <v>0</v>
      </c>
      <c r="T481" s="12" t="s">
        <v>88</v>
      </c>
      <c r="U481" s="21" t="s">
        <v>89</v>
      </c>
      <c r="V481" s="13" t="s">
        <v>90</v>
      </c>
      <c r="W481" s="13" t="s">
        <v>123</v>
      </c>
      <c r="X481" s="101"/>
      <c r="Y481" s="172">
        <f>'Kalkulace a Porovnání'!Y481</f>
        <v>0</v>
      </c>
      <c r="Z481" s="172">
        <f>'Kalkulace a Porovnání'!Z481</f>
        <v>0</v>
      </c>
      <c r="AA481" s="172">
        <f>'Kalkulace a Porovnání'!AA481</f>
        <v>0</v>
      </c>
      <c r="AB481" s="172">
        <f>'Kalkulace a Porovnání'!AB481</f>
        <v>0</v>
      </c>
      <c r="AC481" s="183"/>
      <c r="AD481" s="547"/>
      <c r="AG481" s="547"/>
      <c r="AH481" s="547"/>
      <c r="AI481" s="547"/>
      <c r="AJ481" s="547"/>
      <c r="AK481" s="547"/>
      <c r="AL481" s="183"/>
    </row>
    <row r="482" spans="2:38" x14ac:dyDescent="0.25">
      <c r="B482" s="12" t="s">
        <v>91</v>
      </c>
      <c r="C482" s="21" t="s">
        <v>92</v>
      </c>
      <c r="D482" s="13" t="s">
        <v>10</v>
      </c>
      <c r="E482" s="732"/>
      <c r="F482" s="733"/>
      <c r="G482" s="449">
        <f>'Kalkulace a Porovnání'!G482</f>
        <v>0</v>
      </c>
      <c r="H482" s="449">
        <f>'Kalkulace a Porovnání'!H482</f>
        <v>0</v>
      </c>
      <c r="K482" s="12" t="s">
        <v>91</v>
      </c>
      <c r="L482" s="21" t="s">
        <v>92</v>
      </c>
      <c r="M482" s="13" t="s">
        <v>10</v>
      </c>
      <c r="N482" s="732"/>
      <c r="O482" s="733"/>
      <c r="P482" s="449">
        <f>'Kalkulace a Porovnání'!P482</f>
        <v>0</v>
      </c>
      <c r="Q482" s="449">
        <f>'Kalkulace a Porovnání'!Q482</f>
        <v>0</v>
      </c>
      <c r="T482" s="12" t="s">
        <v>91</v>
      </c>
      <c r="U482" s="21" t="s">
        <v>92</v>
      </c>
      <c r="V482" s="13" t="s">
        <v>10</v>
      </c>
      <c r="W482" s="13"/>
      <c r="X482" s="101"/>
      <c r="Y482" s="449">
        <f>'Kalkulace a Porovnání'!Y482</f>
        <v>0</v>
      </c>
      <c r="Z482" s="449">
        <f>'Kalkulace a Porovnání'!Z482</f>
        <v>0</v>
      </c>
      <c r="AA482" s="449">
        <f>'Kalkulace a Porovnání'!AA482</f>
        <v>0</v>
      </c>
      <c r="AB482" s="449">
        <f>'Kalkulace a Porovnání'!AB482</f>
        <v>0</v>
      </c>
      <c r="AC482" s="183"/>
      <c r="AD482" s="547"/>
      <c r="AG482" s="547"/>
      <c r="AH482" s="547"/>
      <c r="AI482" s="547"/>
      <c r="AJ482" s="547"/>
      <c r="AK482" s="547"/>
      <c r="AL482" s="183"/>
    </row>
    <row r="483" spans="2:38" x14ac:dyDescent="0.25">
      <c r="B483" s="12" t="s">
        <v>93</v>
      </c>
      <c r="C483" s="13" t="s">
        <v>94</v>
      </c>
      <c r="D483" s="13" t="s">
        <v>10</v>
      </c>
      <c r="E483" s="732" t="s">
        <v>122</v>
      </c>
      <c r="F483" s="733"/>
      <c r="G483" s="449">
        <f>'Kalkulace a Porovnání'!G483</f>
        <v>0</v>
      </c>
      <c r="H483" s="449">
        <f>'Kalkulace a Porovnání'!H483</f>
        <v>0</v>
      </c>
      <c r="K483" s="12" t="s">
        <v>93</v>
      </c>
      <c r="L483" s="13" t="s">
        <v>94</v>
      </c>
      <c r="M483" s="13" t="s">
        <v>10</v>
      </c>
      <c r="N483" s="732" t="s">
        <v>122</v>
      </c>
      <c r="O483" s="733"/>
      <c r="P483" s="449">
        <f>'Kalkulace a Porovnání'!P483</f>
        <v>0</v>
      </c>
      <c r="Q483" s="449">
        <f>'Kalkulace a Porovnání'!Q483</f>
        <v>0</v>
      </c>
      <c r="T483" s="12" t="s">
        <v>93</v>
      </c>
      <c r="U483" s="13" t="s">
        <v>94</v>
      </c>
      <c r="V483" s="13" t="s">
        <v>10</v>
      </c>
      <c r="W483" s="13" t="s">
        <v>122</v>
      </c>
      <c r="X483" s="101"/>
      <c r="Y483" s="449">
        <f>'Kalkulace a Porovnání'!Y483</f>
        <v>0</v>
      </c>
      <c r="Z483" s="449">
        <f>'Kalkulace a Porovnání'!Z483</f>
        <v>0</v>
      </c>
      <c r="AA483" s="449">
        <f>'Kalkulace a Porovnání'!AA483</f>
        <v>0</v>
      </c>
      <c r="AB483" s="449">
        <f>'Kalkulace a Porovnání'!AB483</f>
        <v>0</v>
      </c>
      <c r="AC483" s="183"/>
      <c r="AD483" s="547"/>
      <c r="AG483" s="547"/>
      <c r="AH483" s="547"/>
      <c r="AI483" s="547"/>
      <c r="AJ483" s="547"/>
      <c r="AK483" s="547"/>
      <c r="AL483" s="183"/>
    </row>
    <row r="484" spans="2:38" x14ac:dyDescent="0.25">
      <c r="B484" s="12" t="s">
        <v>95</v>
      </c>
      <c r="C484" s="13" t="s">
        <v>96</v>
      </c>
      <c r="D484" s="13" t="s">
        <v>66</v>
      </c>
      <c r="E484" s="732" t="s">
        <v>124</v>
      </c>
      <c r="F484" s="733"/>
      <c r="G484" s="449">
        <f>'Kalkulace a Porovnání'!G484</f>
        <v>0</v>
      </c>
      <c r="H484" s="449">
        <f>'Kalkulace a Porovnání'!H484</f>
        <v>0</v>
      </c>
      <c r="K484" s="12" t="s">
        <v>95</v>
      </c>
      <c r="L484" s="13" t="s">
        <v>96</v>
      </c>
      <c r="M484" s="13" t="s">
        <v>66</v>
      </c>
      <c r="N484" s="732" t="s">
        <v>124</v>
      </c>
      <c r="O484" s="733"/>
      <c r="P484" s="449">
        <f>'Kalkulace a Porovnání'!P484</f>
        <v>0</v>
      </c>
      <c r="Q484" s="449">
        <f>'Kalkulace a Porovnání'!Q484</f>
        <v>0</v>
      </c>
      <c r="T484" s="12" t="s">
        <v>95</v>
      </c>
      <c r="U484" s="13" t="s">
        <v>96</v>
      </c>
      <c r="V484" s="13" t="s">
        <v>66</v>
      </c>
      <c r="W484" s="13" t="s">
        <v>124</v>
      </c>
      <c r="X484" s="101"/>
      <c r="Y484" s="449">
        <f>'Kalkulace a Porovnání'!Y484</f>
        <v>0</v>
      </c>
      <c r="Z484" s="449">
        <f>'Kalkulace a Porovnání'!Z484</f>
        <v>0</v>
      </c>
      <c r="AA484" s="449">
        <f>'Kalkulace a Porovnání'!AA484</f>
        <v>0</v>
      </c>
      <c r="AB484" s="449">
        <f>'Kalkulace a Porovnání'!AB484</f>
        <v>0</v>
      </c>
      <c r="AC484" s="183"/>
      <c r="AD484" s="547"/>
      <c r="AG484" s="547"/>
      <c r="AH484" s="547"/>
      <c r="AI484" s="547"/>
      <c r="AJ484" s="547"/>
      <c r="AK484" s="547"/>
      <c r="AL484" s="183"/>
    </row>
    <row r="485" spans="2:38" x14ac:dyDescent="0.25">
      <c r="B485" s="12" t="s">
        <v>97</v>
      </c>
      <c r="C485" s="13" t="s">
        <v>98</v>
      </c>
      <c r="D485" s="13" t="s">
        <v>83</v>
      </c>
      <c r="E485" s="732" t="s">
        <v>125</v>
      </c>
      <c r="F485" s="733"/>
      <c r="G485" s="172">
        <f>'Kalkulace a Porovnání'!G485</f>
        <v>0</v>
      </c>
      <c r="H485" s="172">
        <f>'Kalkulace a Porovnání'!H485</f>
        <v>0</v>
      </c>
      <c r="K485" s="12" t="s">
        <v>97</v>
      </c>
      <c r="L485" s="13" t="s">
        <v>98</v>
      </c>
      <c r="M485" s="13" t="s">
        <v>83</v>
      </c>
      <c r="N485" s="732" t="s">
        <v>125</v>
      </c>
      <c r="O485" s="733"/>
      <c r="P485" s="172">
        <f>'Kalkulace a Porovnání'!P485</f>
        <v>0</v>
      </c>
      <c r="Q485" s="172">
        <f>'Kalkulace a Porovnání'!Q485</f>
        <v>0</v>
      </c>
      <c r="T485" s="12" t="s">
        <v>97</v>
      </c>
      <c r="U485" s="13" t="s">
        <v>98</v>
      </c>
      <c r="V485" s="13" t="s">
        <v>83</v>
      </c>
      <c r="W485" s="13" t="s">
        <v>125</v>
      </c>
      <c r="X485" s="101"/>
      <c r="Y485" s="172">
        <f>'Kalkulace a Porovnání'!Y485</f>
        <v>0</v>
      </c>
      <c r="Z485" s="172">
        <f>'Kalkulace a Porovnání'!Z485</f>
        <v>0</v>
      </c>
      <c r="AA485" s="172">
        <f>'Kalkulace a Porovnání'!AA485</f>
        <v>0</v>
      </c>
      <c r="AB485" s="172">
        <f>'Kalkulace a Porovnání'!AB485</f>
        <v>0</v>
      </c>
      <c r="AC485" s="183"/>
      <c r="AD485" s="547"/>
      <c r="AG485" s="547"/>
      <c r="AH485" s="547"/>
      <c r="AI485" s="547"/>
      <c r="AJ485" s="547"/>
      <c r="AK485" s="547"/>
      <c r="AL485" s="183"/>
    </row>
    <row r="486" spans="2:38" x14ac:dyDescent="0.25">
      <c r="B486" s="12" t="s">
        <v>99</v>
      </c>
      <c r="C486" s="13" t="str">
        <f>CONCATENATE("CENA pro vodné, stočné + ",Provozování!E514*100,"% DPH")</f>
        <v>CENA pro vodné, stočné + 0% DPH</v>
      </c>
      <c r="D486" s="13" t="s">
        <v>83</v>
      </c>
      <c r="E486" s="732" t="s">
        <v>126</v>
      </c>
      <c r="F486" s="733"/>
      <c r="G486" s="172">
        <f>'Kalkulace a Porovnání'!G486</f>
        <v>0</v>
      </c>
      <c r="H486" s="172">
        <f>'Kalkulace a Porovnání'!H486</f>
        <v>0</v>
      </c>
      <c r="K486" s="12" t="s">
        <v>99</v>
      </c>
      <c r="L486" s="13" t="str">
        <f>C486</f>
        <v>CENA pro vodné, stočné + 0% DPH</v>
      </c>
      <c r="M486" s="13" t="s">
        <v>83</v>
      </c>
      <c r="N486" s="732" t="s">
        <v>126</v>
      </c>
      <c r="O486" s="733"/>
      <c r="P486" s="172">
        <f>'Kalkulace a Porovnání'!P486</f>
        <v>0</v>
      </c>
      <c r="Q486" s="172">
        <f>'Kalkulace a Porovnání'!Q486</f>
        <v>0</v>
      </c>
      <c r="T486" s="12" t="s">
        <v>99</v>
      </c>
      <c r="U486" s="13" t="str">
        <f>C486</f>
        <v>CENA pro vodné, stočné + 0% DPH</v>
      </c>
      <c r="V486" s="13" t="s">
        <v>83</v>
      </c>
      <c r="W486" s="13" t="s">
        <v>126</v>
      </c>
      <c r="X486" s="101"/>
      <c r="Y486" s="172">
        <f>'Kalkulace a Porovnání'!Y486</f>
        <v>0</v>
      </c>
      <c r="Z486" s="172">
        <f>'Kalkulace a Porovnání'!Z486</f>
        <v>0</v>
      </c>
      <c r="AA486" s="172">
        <f>'Kalkulace a Porovnání'!AA486</f>
        <v>0</v>
      </c>
      <c r="AB486" s="172">
        <f>'Kalkulace a Porovnání'!AB486</f>
        <v>0</v>
      </c>
      <c r="AC486" s="183"/>
      <c r="AD486" s="547"/>
      <c r="AG486" s="547"/>
      <c r="AH486" s="547"/>
      <c r="AI486" s="547"/>
      <c r="AJ486" s="547"/>
      <c r="AK486" s="547"/>
      <c r="AL486" s="183"/>
    </row>
    <row r="487" spans="2:38" x14ac:dyDescent="0.25"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T487" s="967" t="s">
        <v>203</v>
      </c>
      <c r="U487" s="967" t="s">
        <v>202</v>
      </c>
      <c r="V487" s="968" t="s">
        <v>10</v>
      </c>
      <c r="W487" s="919" t="s">
        <v>204</v>
      </c>
      <c r="X487" s="732"/>
      <c r="Y487" s="102" t="s">
        <v>206</v>
      </c>
      <c r="Z487" s="105" t="s">
        <v>207</v>
      </c>
      <c r="AA487" s="102" t="s">
        <v>206</v>
      </c>
      <c r="AB487" s="105" t="s">
        <v>207</v>
      </c>
      <c r="AC487" s="183"/>
      <c r="AD487" s="547"/>
      <c r="AG487" s="547"/>
      <c r="AH487" s="547"/>
      <c r="AI487" s="547"/>
      <c r="AJ487" s="547"/>
      <c r="AK487" s="547"/>
      <c r="AL487" s="183"/>
    </row>
    <row r="488" spans="2:38" x14ac:dyDescent="0.25">
      <c r="B488" s="500"/>
      <c r="C488" s="499"/>
      <c r="D488" s="499"/>
      <c r="E488" s="499"/>
      <c r="F488" s="499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T488" s="967"/>
      <c r="U488" s="967"/>
      <c r="V488" s="968"/>
      <c r="W488" s="969">
        <f>'Kalkulace a Porovnání'!W488</f>
        <v>0</v>
      </c>
      <c r="X488" s="970"/>
      <c r="Y488" s="103">
        <f>'Kalkulace a Porovnání'!Y488</f>
        <v>2026</v>
      </c>
      <c r="Z488" s="103">
        <f>'Kalkulace a Porovnání'!Z488</f>
        <v>2026</v>
      </c>
      <c r="AA488" s="103">
        <f>'Kalkulace a Porovnání'!AA488</f>
        <v>2026</v>
      </c>
      <c r="AB488" s="103">
        <f>'Kalkulace a Porovnání'!AB488</f>
        <v>2026</v>
      </c>
      <c r="AC488" s="183"/>
      <c r="AD488" s="547"/>
      <c r="AG488" s="547"/>
      <c r="AH488" s="547"/>
      <c r="AI488" s="547"/>
      <c r="AJ488" s="547"/>
      <c r="AK488" s="547"/>
      <c r="AL488" s="183"/>
    </row>
    <row r="489" spans="2:38" x14ac:dyDescent="0.25">
      <c r="B489" s="500"/>
      <c r="C489" s="499"/>
      <c r="D489" s="499"/>
      <c r="E489" s="499"/>
      <c r="F489" s="499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T489" s="967"/>
      <c r="U489" s="967"/>
      <c r="V489" s="968"/>
      <c r="W489" s="919" t="s">
        <v>205</v>
      </c>
      <c r="X489" s="732"/>
      <c r="Y489" s="104" t="s">
        <v>208</v>
      </c>
      <c r="Z489" s="104" t="s">
        <v>208</v>
      </c>
      <c r="AA489" s="104" t="s">
        <v>209</v>
      </c>
      <c r="AB489" s="104" t="s">
        <v>209</v>
      </c>
      <c r="AC489" s="183"/>
      <c r="AD489" s="547"/>
      <c r="AG489" s="547"/>
      <c r="AH489" s="547"/>
      <c r="AI489" s="547"/>
      <c r="AJ489" s="547"/>
      <c r="AK489" s="547"/>
      <c r="AL489" s="183"/>
    </row>
    <row r="490" spans="2:38" x14ac:dyDescent="0.25">
      <c r="B490" s="499"/>
      <c r="C490" s="499"/>
      <c r="D490" s="499"/>
      <c r="E490" s="499"/>
      <c r="F490" s="499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T490" s="967"/>
      <c r="U490" s="967"/>
      <c r="V490" s="968"/>
      <c r="W490" s="971">
        <f>'Kalkulace a Porovnání'!W490</f>
        <v>0</v>
      </c>
      <c r="X490" s="971"/>
      <c r="Y490" s="449">
        <f>'Kalkulace a Porovnání'!Y490</f>
        <v>0</v>
      </c>
      <c r="Z490" s="449">
        <f>'Kalkulace a Porovnání'!Z490</f>
        <v>0</v>
      </c>
      <c r="AA490" s="449">
        <f>'Kalkulace a Porovnání'!AA490</f>
        <v>0</v>
      </c>
      <c r="AB490" s="449">
        <f>'Kalkulace a Porovnání'!AB490</f>
        <v>0</v>
      </c>
      <c r="AC490" s="183"/>
      <c r="AD490" s="547"/>
      <c r="AG490" s="547"/>
      <c r="AH490" s="547"/>
      <c r="AI490" s="547"/>
      <c r="AJ490" s="547"/>
      <c r="AK490" s="547"/>
      <c r="AL490" s="183"/>
    </row>
    <row r="491" spans="2:38" x14ac:dyDescent="0.25">
      <c r="B491" s="31"/>
      <c r="AC491" s="183"/>
      <c r="AD491" s="547"/>
      <c r="AG491" s="547"/>
      <c r="AH491" s="547"/>
      <c r="AI491" s="547"/>
      <c r="AJ491" s="547"/>
      <c r="AK491" s="547"/>
      <c r="AL491" s="183"/>
    </row>
    <row r="492" spans="2:38" x14ac:dyDescent="0.25">
      <c r="B492" s="726" t="s">
        <v>393</v>
      </c>
      <c r="C492" s="727"/>
      <c r="D492" s="727"/>
      <c r="E492" s="727"/>
      <c r="F492" s="727"/>
      <c r="G492" s="727"/>
      <c r="H492" s="727"/>
      <c r="K492" s="726" t="s">
        <v>394</v>
      </c>
      <c r="L492" s="727"/>
      <c r="M492" s="727"/>
      <c r="N492" s="727"/>
      <c r="O492" s="727"/>
      <c r="P492" s="727"/>
      <c r="Q492" s="727"/>
      <c r="T492" s="726" t="s">
        <v>210</v>
      </c>
      <c r="U492" s="727"/>
      <c r="V492" s="727"/>
      <c r="W492" s="727"/>
      <c r="X492" s="727"/>
      <c r="Y492" s="727"/>
      <c r="Z492" s="727"/>
      <c r="AA492" s="727"/>
      <c r="AB492" s="727"/>
      <c r="AC492" s="183"/>
      <c r="AD492" s="547"/>
      <c r="AG492" s="547"/>
      <c r="AH492" s="547"/>
      <c r="AI492" s="547"/>
      <c r="AJ492" s="547"/>
      <c r="AK492" s="547"/>
      <c r="AL492" s="183"/>
    </row>
    <row r="493" spans="2:38" x14ac:dyDescent="0.25">
      <c r="C493" s="362"/>
      <c r="E493" s="25"/>
      <c r="F493" s="25"/>
      <c r="L493" s="25"/>
      <c r="N493" s="25"/>
      <c r="T493" s="950" t="s">
        <v>395</v>
      </c>
      <c r="U493" s="950"/>
      <c r="V493" s="950"/>
      <c r="W493" s="950"/>
      <c r="X493" s="950"/>
      <c r="Y493" s="950"/>
      <c r="Z493" s="950"/>
      <c r="AA493" s="950"/>
      <c r="AB493" s="950"/>
      <c r="AC493" s="183"/>
      <c r="AD493" s="547"/>
      <c r="AG493" s="547"/>
      <c r="AH493" s="547"/>
      <c r="AI493" s="547"/>
      <c r="AJ493" s="547"/>
      <c r="AK493" s="547"/>
      <c r="AL493" s="183"/>
    </row>
    <row r="494" spans="2:38" x14ac:dyDescent="0.25">
      <c r="C494" s="362" t="s">
        <v>119</v>
      </c>
      <c r="D494" s="364">
        <f>'Kalkulace a Porovnání'!D494</f>
        <v>2027</v>
      </c>
      <c r="E494" s="25"/>
      <c r="F494" s="362" t="s">
        <v>278</v>
      </c>
      <c r="G494" s="365" t="str">
        <f>'Kalkulace a Porovnání'!G494</f>
        <v>-</v>
      </c>
      <c r="H494" s="365" t="str">
        <f>'Kalkulace a Porovnání'!H494</f>
        <v xml:space="preserve"> </v>
      </c>
      <c r="L494" s="362" t="s">
        <v>119</v>
      </c>
      <c r="M494" s="364">
        <f>'Kalkulace a Porovnání'!M494</f>
        <v>2027</v>
      </c>
      <c r="O494" s="362" t="s">
        <v>278</v>
      </c>
      <c r="P494" s="365" t="str">
        <f>'Kalkulace a Porovnání'!P494</f>
        <v>-</v>
      </c>
      <c r="Q494" s="365" t="str">
        <f>'Kalkulace a Porovnání'!Q494</f>
        <v xml:space="preserve"> </v>
      </c>
      <c r="T494" s="441"/>
      <c r="U494" s="441"/>
      <c r="V494" s="451" t="s">
        <v>195</v>
      </c>
      <c r="W494" s="364">
        <f>'Kalkulace a Porovnání'!W494</f>
        <v>2027</v>
      </c>
      <c r="Z494" s="362" t="s">
        <v>278</v>
      </c>
      <c r="AA494" s="365" t="str">
        <f>'Kalkulace a Porovnání'!AA494</f>
        <v>-</v>
      </c>
      <c r="AB494" s="365" t="str">
        <f>'Kalkulace a Porovnání'!AB494</f>
        <v xml:space="preserve"> </v>
      </c>
      <c r="AC494" s="183"/>
      <c r="AD494" s="547"/>
      <c r="AG494" s="547"/>
      <c r="AH494" s="547"/>
      <c r="AI494" s="547"/>
      <c r="AJ494" s="547"/>
      <c r="AK494" s="547"/>
      <c r="AL494" s="183"/>
    </row>
    <row r="495" spans="2:38" x14ac:dyDescent="0.25">
      <c r="B495" s="13" t="s">
        <v>74</v>
      </c>
      <c r="C495" s="13" t="s">
        <v>105</v>
      </c>
      <c r="D495" s="941" t="str">
        <f>'Kalkulace a Porovnání'!D495</f>
        <v/>
      </c>
      <c r="E495" s="942"/>
      <c r="F495" s="942"/>
      <c r="G495" s="942"/>
      <c r="H495" s="943"/>
      <c r="K495" s="13" t="s">
        <v>74</v>
      </c>
      <c r="L495" s="13" t="s">
        <v>105</v>
      </c>
      <c r="M495" s="941" t="str">
        <f>'Kalkulace a Porovnání'!M495</f>
        <v/>
      </c>
      <c r="N495" s="942"/>
      <c r="O495" s="942"/>
      <c r="P495" s="942"/>
      <c r="Q495" s="943"/>
      <c r="T495" s="13" t="s">
        <v>74</v>
      </c>
      <c r="U495" s="13" t="s">
        <v>105</v>
      </c>
      <c r="V495" s="949" t="str">
        <f>'Kalkulace a Porovnání'!V495</f>
        <v/>
      </c>
      <c r="W495" s="738"/>
      <c r="X495" s="738"/>
      <c r="Y495" s="738"/>
      <c r="Z495" s="738"/>
      <c r="AA495" s="738"/>
      <c r="AB495" s="738"/>
      <c r="AC495" s="183"/>
      <c r="AD495" s="547"/>
      <c r="AG495" s="342"/>
      <c r="AH495" s="342"/>
      <c r="AI495" s="342"/>
      <c r="AJ495" s="342"/>
      <c r="AK495" s="547"/>
      <c r="AL495" s="183"/>
    </row>
    <row r="496" spans="2:38" x14ac:dyDescent="0.25">
      <c r="B496" s="13" t="s">
        <v>100</v>
      </c>
      <c r="C496" s="13" t="s">
        <v>106</v>
      </c>
      <c r="D496" s="941" t="str">
        <f>'Kalkulace a Porovnání'!D496</f>
        <v/>
      </c>
      <c r="E496" s="942"/>
      <c r="F496" s="942"/>
      <c r="G496" s="942"/>
      <c r="H496" s="943"/>
      <c r="K496" s="13" t="s">
        <v>100</v>
      </c>
      <c r="L496" s="13" t="s">
        <v>106</v>
      </c>
      <c r="M496" s="941" t="str">
        <f>'Kalkulace a Porovnání'!M496</f>
        <v/>
      </c>
      <c r="N496" s="942"/>
      <c r="O496" s="942"/>
      <c r="P496" s="942"/>
      <c r="Q496" s="943"/>
      <c r="T496" s="13" t="s">
        <v>100</v>
      </c>
      <c r="U496" s="13" t="s">
        <v>106</v>
      </c>
      <c r="V496" s="949" t="str">
        <f>'Kalkulace a Porovnání'!V496</f>
        <v/>
      </c>
      <c r="W496" s="738"/>
      <c r="X496" s="738"/>
      <c r="Y496" s="738"/>
      <c r="Z496" s="738"/>
      <c r="AA496" s="738"/>
      <c r="AB496" s="738"/>
      <c r="AC496" s="183"/>
      <c r="AD496" s="547"/>
      <c r="AG496" s="342"/>
      <c r="AH496" s="342"/>
      <c r="AI496" s="342"/>
      <c r="AJ496" s="342"/>
      <c r="AK496" s="547"/>
      <c r="AL496" s="183"/>
    </row>
    <row r="497" spans="2:38" x14ac:dyDescent="0.25">
      <c r="B497" s="13" t="s">
        <v>101</v>
      </c>
      <c r="C497" s="13" t="s">
        <v>107</v>
      </c>
      <c r="D497" s="941" t="str">
        <f>'Kalkulace a Porovnání'!D497</f>
        <v xml:space="preserve">Město Kraslice, IČ </v>
      </c>
      <c r="E497" s="942"/>
      <c r="F497" s="942"/>
      <c r="G497" s="942"/>
      <c r="H497" s="943"/>
      <c r="K497" s="13" t="s">
        <v>101</v>
      </c>
      <c r="L497" s="13" t="s">
        <v>107</v>
      </c>
      <c r="M497" s="941" t="str">
        <f>'Kalkulace a Porovnání'!M497</f>
        <v xml:space="preserve">Město Kraslice, IČ </v>
      </c>
      <c r="N497" s="942"/>
      <c r="O497" s="942"/>
      <c r="P497" s="942"/>
      <c r="Q497" s="943"/>
      <c r="T497" s="13" t="s">
        <v>101</v>
      </c>
      <c r="U497" s="13" t="s">
        <v>107</v>
      </c>
      <c r="V497" s="949" t="str">
        <f>'Kalkulace a Porovnání'!V497</f>
        <v xml:space="preserve">Město Kraslice, IČ </v>
      </c>
      <c r="W497" s="738"/>
      <c r="X497" s="738"/>
      <c r="Y497" s="738"/>
      <c r="Z497" s="738"/>
      <c r="AA497" s="738"/>
      <c r="AB497" s="738"/>
      <c r="AC497" s="183"/>
      <c r="AD497" s="547"/>
      <c r="AG497" s="342"/>
      <c r="AH497" s="342"/>
      <c r="AI497" s="342"/>
      <c r="AJ497" s="342"/>
      <c r="AK497" s="547"/>
      <c r="AL497" s="183"/>
    </row>
    <row r="498" spans="2:38" x14ac:dyDescent="0.25">
      <c r="B498" s="13" t="s">
        <v>102</v>
      </c>
      <c r="C498" s="13" t="s">
        <v>109</v>
      </c>
      <c r="D498" s="941" t="str">
        <f>'Kalkulace a Porovnání'!D498</f>
        <v>[vyplnit]</v>
      </c>
      <c r="E498" s="942"/>
      <c r="F498" s="942"/>
      <c r="G498" s="942"/>
      <c r="H498" s="943"/>
      <c r="K498" s="13" t="s">
        <v>102</v>
      </c>
      <c r="L498" s="13" t="s">
        <v>109</v>
      </c>
      <c r="M498" s="941" t="str">
        <f>'Kalkulace a Porovnání'!M498</f>
        <v xml:space="preserve"> </v>
      </c>
      <c r="N498" s="942"/>
      <c r="O498" s="942"/>
      <c r="P498" s="942"/>
      <c r="Q498" s="943"/>
      <c r="T498" s="13" t="s">
        <v>102</v>
      </c>
      <c r="U498" s="13" t="s">
        <v>109</v>
      </c>
      <c r="V498" s="949" t="str">
        <f>'Kalkulace a Porovnání'!V498</f>
        <v xml:space="preserve"> </v>
      </c>
      <c r="W498" s="738"/>
      <c r="X498" s="738"/>
      <c r="Y498" s="738"/>
      <c r="Z498" s="738"/>
      <c r="AA498" s="738"/>
      <c r="AB498" s="738"/>
      <c r="AC498" s="183"/>
      <c r="AD498" s="547"/>
      <c r="AG498" s="342"/>
      <c r="AH498" s="342"/>
      <c r="AI498" s="342"/>
      <c r="AJ498" s="342"/>
      <c r="AK498" s="547"/>
      <c r="AL498" s="183"/>
    </row>
    <row r="499" spans="2:38" x14ac:dyDescent="0.25">
      <c r="B499" s="13" t="s">
        <v>103</v>
      </c>
      <c r="C499" s="13" t="s">
        <v>108</v>
      </c>
      <c r="D499" s="941" t="str">
        <f>'Kalkulace a Porovnání'!D499</f>
        <v>[vyplnit]</v>
      </c>
      <c r="E499" s="942"/>
      <c r="F499" s="942"/>
      <c r="G499" s="942"/>
      <c r="H499" s="943"/>
      <c r="K499" s="13" t="s">
        <v>103</v>
      </c>
      <c r="L499" s="13" t="s">
        <v>108</v>
      </c>
      <c r="M499" s="941" t="str">
        <f>'Kalkulace a Porovnání'!M499</f>
        <v xml:space="preserve"> </v>
      </c>
      <c r="N499" s="942"/>
      <c r="O499" s="942"/>
      <c r="P499" s="942"/>
      <c r="Q499" s="943"/>
      <c r="T499" s="13" t="s">
        <v>103</v>
      </c>
      <c r="U499" s="13" t="s">
        <v>108</v>
      </c>
      <c r="V499" s="949" t="str">
        <f>'Kalkulace a Porovnání'!V499</f>
        <v xml:space="preserve"> </v>
      </c>
      <c r="W499" s="738"/>
      <c r="X499" s="738"/>
      <c r="Y499" s="738"/>
      <c r="Z499" s="738"/>
      <c r="AA499" s="738"/>
      <c r="AB499" s="738"/>
      <c r="AC499" s="183"/>
      <c r="AD499" s="547"/>
      <c r="AG499" s="342"/>
      <c r="AH499" s="342"/>
      <c r="AI499" s="342"/>
      <c r="AJ499" s="342"/>
      <c r="AK499" s="547"/>
      <c r="AL499" s="183"/>
    </row>
    <row r="500" spans="2:38" x14ac:dyDescent="0.25">
      <c r="B500" s="13" t="s">
        <v>104</v>
      </c>
      <c r="C500" s="13" t="s">
        <v>110</v>
      </c>
      <c r="D500" s="941" t="str">
        <f>'Kalkulace a Porovnání'!D500</f>
        <v>[vyplnit]</v>
      </c>
      <c r="E500" s="942"/>
      <c r="F500" s="942"/>
      <c r="G500" s="942"/>
      <c r="H500" s="943"/>
      <c r="K500" s="13" t="s">
        <v>104</v>
      </c>
      <c r="L500" s="13" t="s">
        <v>110</v>
      </c>
      <c r="M500" s="941" t="str">
        <f>'Kalkulace a Porovnání'!M500</f>
        <v xml:space="preserve"> </v>
      </c>
      <c r="N500" s="942"/>
      <c r="O500" s="942"/>
      <c r="P500" s="942"/>
      <c r="Q500" s="943"/>
      <c r="T500" s="13" t="s">
        <v>104</v>
      </c>
      <c r="U500" s="13" t="s">
        <v>110</v>
      </c>
      <c r="V500" s="949" t="str">
        <f>'Kalkulace a Porovnání'!V500</f>
        <v xml:space="preserve"> </v>
      </c>
      <c r="W500" s="738"/>
      <c r="X500" s="738"/>
      <c r="Y500" s="738"/>
      <c r="Z500" s="738"/>
      <c r="AA500" s="738"/>
      <c r="AB500" s="738"/>
      <c r="AC500" s="183"/>
      <c r="AD500" s="547"/>
      <c r="AG500" s="342"/>
      <c r="AH500" s="342"/>
      <c r="AI500" s="342"/>
      <c r="AJ500" s="342"/>
      <c r="AK500" s="547"/>
      <c r="AL500" s="183"/>
    </row>
    <row r="501" spans="2:38" x14ac:dyDescent="0.25">
      <c r="AC501" s="183"/>
      <c r="AD501" s="547"/>
      <c r="AG501" s="342"/>
      <c r="AH501" s="342"/>
      <c r="AI501" s="342"/>
      <c r="AJ501" s="342"/>
      <c r="AK501" s="547"/>
      <c r="AL501" s="183"/>
    </row>
    <row r="502" spans="2:38" x14ac:dyDescent="0.25">
      <c r="B502" s="932" t="s">
        <v>5</v>
      </c>
      <c r="C502" s="721" t="s">
        <v>0</v>
      </c>
      <c r="D502" s="722"/>
      <c r="E502" s="722"/>
      <c r="F502" s="722"/>
      <c r="G502" s="722"/>
      <c r="H502" s="725"/>
      <c r="K502" s="932" t="s">
        <v>5</v>
      </c>
      <c r="L502" s="721" t="s">
        <v>0</v>
      </c>
      <c r="M502" s="722"/>
      <c r="N502" s="722"/>
      <c r="O502" s="722"/>
      <c r="P502" s="722"/>
      <c r="Q502" s="725"/>
      <c r="T502" s="932" t="s">
        <v>5</v>
      </c>
      <c r="U502" s="721" t="s">
        <v>0</v>
      </c>
      <c r="V502" s="722"/>
      <c r="W502" s="722"/>
      <c r="X502" s="722"/>
      <c r="Y502" s="722"/>
      <c r="Z502" s="722"/>
      <c r="AA502" s="722"/>
      <c r="AB502" s="725"/>
      <c r="AC502" s="183"/>
      <c r="AD502" s="547"/>
      <c r="AG502" s="342"/>
      <c r="AH502" s="342"/>
      <c r="AI502" s="342"/>
      <c r="AJ502" s="342"/>
      <c r="AK502" s="547"/>
      <c r="AL502" s="183"/>
    </row>
    <row r="503" spans="2:38" x14ac:dyDescent="0.25">
      <c r="B503" s="930"/>
      <c r="C503" s="932" t="s">
        <v>1</v>
      </c>
      <c r="D503" s="929" t="s">
        <v>173</v>
      </c>
      <c r="E503" s="721" t="s">
        <v>3</v>
      </c>
      <c r="F503" s="722"/>
      <c r="G503" s="721" t="s">
        <v>4</v>
      </c>
      <c r="H503" s="725"/>
      <c r="K503" s="930"/>
      <c r="L503" s="932" t="s">
        <v>1</v>
      </c>
      <c r="M503" s="929" t="s">
        <v>173</v>
      </c>
      <c r="N503" s="721" t="s">
        <v>3</v>
      </c>
      <c r="O503" s="722"/>
      <c r="P503" s="721" t="s">
        <v>4</v>
      </c>
      <c r="Q503" s="725"/>
      <c r="T503" s="930"/>
      <c r="U503" s="932" t="s">
        <v>1</v>
      </c>
      <c r="V503" s="929" t="s">
        <v>173</v>
      </c>
      <c r="W503" s="721" t="s">
        <v>3</v>
      </c>
      <c r="X503" s="722"/>
      <c r="Y503" s="722"/>
      <c r="Z503" s="721" t="s">
        <v>4</v>
      </c>
      <c r="AA503" s="722"/>
      <c r="AB503" s="725"/>
      <c r="AC503" s="183"/>
      <c r="AD503" s="547"/>
      <c r="AG503" s="342"/>
      <c r="AH503" s="342"/>
      <c r="AI503" s="342"/>
      <c r="AJ503" s="342"/>
      <c r="AK503" s="547"/>
      <c r="AL503" s="183"/>
    </row>
    <row r="504" spans="2:38" x14ac:dyDescent="0.25">
      <c r="B504" s="930"/>
      <c r="C504" s="930"/>
      <c r="D504" s="930"/>
      <c r="E504" s="30">
        <f>'Kalkulace a Porovnání'!E504</f>
        <v>2026</v>
      </c>
      <c r="F504" s="30">
        <f>'Kalkulace a Porovnání'!F504</f>
        <v>2027</v>
      </c>
      <c r="G504" s="30">
        <f>'Kalkulace a Porovnání'!G504</f>
        <v>2026</v>
      </c>
      <c r="H504" s="30">
        <f>'Kalkulace a Porovnání'!H504</f>
        <v>2027</v>
      </c>
      <c r="K504" s="930"/>
      <c r="L504" s="930"/>
      <c r="M504" s="930"/>
      <c r="N504" s="30">
        <f>'Kalkulace a Porovnání'!N504</f>
        <v>2026</v>
      </c>
      <c r="O504" s="30">
        <f>'Kalkulace a Porovnání'!O504</f>
        <v>2027</v>
      </c>
      <c r="P504" s="30">
        <f>'Kalkulace a Porovnání'!P504</f>
        <v>2026</v>
      </c>
      <c r="Q504" s="30">
        <f>'Kalkulace a Porovnání'!Q504</f>
        <v>2027</v>
      </c>
      <c r="T504" s="930"/>
      <c r="U504" s="930"/>
      <c r="V504" s="930"/>
      <c r="W504" s="30">
        <f>'Kalkulace a Porovnání'!W504</f>
        <v>2027</v>
      </c>
      <c r="X504" s="30">
        <f>'Kalkulace a Porovnání'!X504</f>
        <v>2027</v>
      </c>
      <c r="Y504" s="30">
        <f>'Kalkulace a Porovnání'!Y504</f>
        <v>2027</v>
      </c>
      <c r="Z504" s="30">
        <f>'Kalkulace a Porovnání'!Z504</f>
        <v>2027</v>
      </c>
      <c r="AA504" s="30">
        <f>'Kalkulace a Porovnání'!AA504</f>
        <v>2027</v>
      </c>
      <c r="AB504" s="30">
        <f>'Kalkulace a Porovnání'!AB504</f>
        <v>2027</v>
      </c>
      <c r="AC504" s="183"/>
      <c r="AD504" s="547"/>
      <c r="AG504" s="342"/>
      <c r="AH504" s="342"/>
      <c r="AI504" s="342"/>
      <c r="AJ504" s="342"/>
      <c r="AK504" s="547"/>
      <c r="AL504" s="183"/>
    </row>
    <row r="505" spans="2:38" x14ac:dyDescent="0.25">
      <c r="B505" s="931"/>
      <c r="C505" s="931"/>
      <c r="D505" s="931"/>
      <c r="E505" s="7" t="s">
        <v>199</v>
      </c>
      <c r="F505" s="7" t="s">
        <v>114</v>
      </c>
      <c r="G505" s="7" t="s">
        <v>199</v>
      </c>
      <c r="H505" s="19" t="s">
        <v>114</v>
      </c>
      <c r="K505" s="931"/>
      <c r="L505" s="931"/>
      <c r="M505" s="931"/>
      <c r="N505" s="7" t="s">
        <v>199</v>
      </c>
      <c r="O505" s="7" t="s">
        <v>114</v>
      </c>
      <c r="P505" s="7" t="s">
        <v>199</v>
      </c>
      <c r="Q505" s="19" t="s">
        <v>114</v>
      </c>
      <c r="T505" s="931"/>
      <c r="U505" s="931"/>
      <c r="V505" s="931"/>
      <c r="W505" s="7" t="s">
        <v>198</v>
      </c>
      <c r="X505" s="7" t="s">
        <v>114</v>
      </c>
      <c r="Y505" s="7" t="s">
        <v>197</v>
      </c>
      <c r="Z505" s="7" t="s">
        <v>198</v>
      </c>
      <c r="AA505" s="7" t="s">
        <v>114</v>
      </c>
      <c r="AB505" s="19" t="s">
        <v>197</v>
      </c>
      <c r="AC505" s="183"/>
      <c r="AD505" s="547"/>
      <c r="AG505" s="342"/>
      <c r="AH505" s="342"/>
      <c r="AI505" s="342"/>
      <c r="AJ505" s="342"/>
      <c r="AK505" s="547"/>
      <c r="AL505" s="183"/>
    </row>
    <row r="506" spans="2:38" x14ac:dyDescent="0.25">
      <c r="B506" s="11">
        <v>1</v>
      </c>
      <c r="C506" s="11">
        <v>2</v>
      </c>
      <c r="D506" s="11" t="s">
        <v>111</v>
      </c>
      <c r="E506" s="11">
        <v>3</v>
      </c>
      <c r="F506" s="11">
        <v>4</v>
      </c>
      <c r="G506" s="11">
        <v>6</v>
      </c>
      <c r="H506" s="22">
        <v>7</v>
      </c>
      <c r="K506" s="11">
        <v>1</v>
      </c>
      <c r="L506" s="11">
        <v>2</v>
      </c>
      <c r="M506" s="11" t="s">
        <v>111</v>
      </c>
      <c r="N506" s="11">
        <v>3</v>
      </c>
      <c r="O506" s="11">
        <v>4</v>
      </c>
      <c r="P506" s="11">
        <v>6</v>
      </c>
      <c r="Q506" s="22">
        <v>7</v>
      </c>
      <c r="T506" s="11">
        <v>1</v>
      </c>
      <c r="U506" s="11">
        <v>2</v>
      </c>
      <c r="V506" s="11" t="s">
        <v>111</v>
      </c>
      <c r="W506" s="11">
        <v>3</v>
      </c>
      <c r="X506" s="11">
        <v>4</v>
      </c>
      <c r="Y506" s="11">
        <v>5</v>
      </c>
      <c r="Z506" s="11">
        <v>6</v>
      </c>
      <c r="AA506" s="11">
        <v>7</v>
      </c>
      <c r="AB506" s="22">
        <v>8</v>
      </c>
      <c r="AC506" s="183"/>
      <c r="AD506" s="547"/>
      <c r="AG506" s="342"/>
      <c r="AH506" s="342"/>
      <c r="AI506" s="342"/>
      <c r="AJ506" s="342"/>
      <c r="AK506" s="547"/>
      <c r="AL506" s="183"/>
    </row>
    <row r="507" spans="2:38" x14ac:dyDescent="0.25">
      <c r="B507" s="9" t="s">
        <v>8</v>
      </c>
      <c r="C507" s="10" t="s">
        <v>9</v>
      </c>
      <c r="D507" s="11" t="s">
        <v>10</v>
      </c>
      <c r="E507" s="46">
        <f>'Kalkulace a Porovnání'!E507</f>
        <v>0</v>
      </c>
      <c r="F507" s="46">
        <f>'Kalkulace a Porovnání'!F507</f>
        <v>0</v>
      </c>
      <c r="G507" s="46">
        <f>'Kalkulace a Porovnání'!G507</f>
        <v>0</v>
      </c>
      <c r="H507" s="98">
        <f>'Kalkulace a Porovnání'!H507</f>
        <v>0</v>
      </c>
      <c r="K507" s="9" t="s">
        <v>8</v>
      </c>
      <c r="L507" s="10" t="s">
        <v>9</v>
      </c>
      <c r="M507" s="11" t="s">
        <v>10</v>
      </c>
      <c r="N507" s="46">
        <f>'Kalkulace a Porovnání'!N507</f>
        <v>0</v>
      </c>
      <c r="O507" s="46">
        <f>'Kalkulace a Porovnání'!O507</f>
        <v>0</v>
      </c>
      <c r="P507" s="46">
        <f>'Kalkulace a Porovnání'!P507</f>
        <v>0</v>
      </c>
      <c r="Q507" s="98">
        <f>'Kalkulace a Porovnání'!Q507</f>
        <v>0</v>
      </c>
      <c r="T507" s="9" t="s">
        <v>8</v>
      </c>
      <c r="U507" s="10" t="s">
        <v>9</v>
      </c>
      <c r="V507" s="11" t="s">
        <v>10</v>
      </c>
      <c r="W507" s="46">
        <f>'Kalkulace a Porovnání'!W507</f>
        <v>0</v>
      </c>
      <c r="X507" s="46">
        <f>'Kalkulace a Porovnání'!X507</f>
        <v>0</v>
      </c>
      <c r="Y507" s="46">
        <f>'Kalkulace a Porovnání'!Y507</f>
        <v>0</v>
      </c>
      <c r="Z507" s="46">
        <f>'Kalkulace a Porovnání'!Z507</f>
        <v>0</v>
      </c>
      <c r="AA507" s="46">
        <f>'Kalkulace a Porovnání'!AA507</f>
        <v>0</v>
      </c>
      <c r="AB507" s="98">
        <f>'Kalkulace a Porovnání'!AB507</f>
        <v>0</v>
      </c>
      <c r="AC507" s="183"/>
      <c r="AD507" s="547"/>
      <c r="AG507" s="342"/>
      <c r="AH507" s="342"/>
      <c r="AI507" s="342"/>
      <c r="AJ507" s="342"/>
      <c r="AK507" s="547"/>
      <c r="AL507" s="183"/>
    </row>
    <row r="508" spans="2:38" x14ac:dyDescent="0.25">
      <c r="B508" s="12" t="s">
        <v>11</v>
      </c>
      <c r="C508" s="13" t="s">
        <v>12</v>
      </c>
      <c r="D508" s="3" t="s">
        <v>10</v>
      </c>
      <c r="E508" s="49">
        <f>'Kalkulace a Porovnání'!E508</f>
        <v>0</v>
      </c>
      <c r="F508" s="49">
        <f>'Kalkulace a Porovnání'!F508</f>
        <v>0</v>
      </c>
      <c r="G508" s="49">
        <f>'Kalkulace a Porovnání'!G508</f>
        <v>0</v>
      </c>
      <c r="H508" s="32">
        <f>'Kalkulace a Porovnání'!H508</f>
        <v>0</v>
      </c>
      <c r="K508" s="12" t="s">
        <v>11</v>
      </c>
      <c r="L508" s="13" t="s">
        <v>12</v>
      </c>
      <c r="M508" s="3" t="s">
        <v>10</v>
      </c>
      <c r="N508" s="49">
        <f>'Kalkulace a Porovnání'!N508</f>
        <v>0</v>
      </c>
      <c r="O508" s="49">
        <f>'Kalkulace a Porovnání'!O508</f>
        <v>0</v>
      </c>
      <c r="P508" s="49">
        <f>'Kalkulace a Porovnání'!P508</f>
        <v>0</v>
      </c>
      <c r="Q508" s="32">
        <f>'Kalkulace a Porovnání'!Q508</f>
        <v>0</v>
      </c>
      <c r="T508" s="12" t="s">
        <v>11</v>
      </c>
      <c r="U508" s="13" t="s">
        <v>12</v>
      </c>
      <c r="V508" s="3" t="s">
        <v>10</v>
      </c>
      <c r="W508" s="49">
        <f>'Kalkulace a Porovnání'!W508</f>
        <v>0</v>
      </c>
      <c r="X508" s="49">
        <f>'Kalkulace a Porovnání'!X508</f>
        <v>0</v>
      </c>
      <c r="Y508" s="49">
        <f>'Kalkulace a Porovnání'!Y508</f>
        <v>0</v>
      </c>
      <c r="Z508" s="49">
        <f>'Kalkulace a Porovnání'!Z508</f>
        <v>0</v>
      </c>
      <c r="AA508" s="49">
        <f>'Kalkulace a Porovnání'!AA508</f>
        <v>0</v>
      </c>
      <c r="AB508" s="32">
        <f>'Kalkulace a Porovnání'!AB508</f>
        <v>0</v>
      </c>
      <c r="AC508" s="183"/>
      <c r="AD508" s="547"/>
      <c r="AG508" s="342"/>
      <c r="AH508" s="342"/>
      <c r="AI508" s="342"/>
      <c r="AJ508" s="342"/>
      <c r="AK508" s="547"/>
      <c r="AL508" s="183"/>
    </row>
    <row r="509" spans="2:38" x14ac:dyDescent="0.25">
      <c r="B509" s="12" t="s">
        <v>13</v>
      </c>
      <c r="C509" s="12" t="s">
        <v>14</v>
      </c>
      <c r="D509" s="3" t="s">
        <v>10</v>
      </c>
      <c r="E509" s="49">
        <f>'Kalkulace a Porovnání'!E509</f>
        <v>0</v>
      </c>
      <c r="F509" s="49">
        <f>'Kalkulace a Porovnání'!F509</f>
        <v>0</v>
      </c>
      <c r="G509" s="49">
        <f>'Kalkulace a Porovnání'!G509</f>
        <v>0</v>
      </c>
      <c r="H509" s="32">
        <f>'Kalkulace a Porovnání'!H509</f>
        <v>0</v>
      </c>
      <c r="K509" s="12" t="s">
        <v>13</v>
      </c>
      <c r="L509" s="12" t="s">
        <v>14</v>
      </c>
      <c r="M509" s="3" t="s">
        <v>10</v>
      </c>
      <c r="N509" s="49">
        <f>'Kalkulace a Porovnání'!N509</f>
        <v>0</v>
      </c>
      <c r="O509" s="49">
        <f>'Kalkulace a Porovnání'!O509</f>
        <v>0</v>
      </c>
      <c r="P509" s="49">
        <f>'Kalkulace a Porovnání'!P509</f>
        <v>0</v>
      </c>
      <c r="Q509" s="32">
        <f>'Kalkulace a Porovnání'!Q509</f>
        <v>0</v>
      </c>
      <c r="T509" s="12" t="s">
        <v>13</v>
      </c>
      <c r="U509" s="12" t="s">
        <v>14</v>
      </c>
      <c r="V509" s="3" t="s">
        <v>10</v>
      </c>
      <c r="W509" s="49">
        <f>'Kalkulace a Porovnání'!W509</f>
        <v>0</v>
      </c>
      <c r="X509" s="49">
        <f>'Kalkulace a Porovnání'!X509</f>
        <v>0</v>
      </c>
      <c r="Y509" s="49">
        <f>'Kalkulace a Porovnání'!Y509</f>
        <v>0</v>
      </c>
      <c r="Z509" s="49">
        <f>'Kalkulace a Porovnání'!Z509</f>
        <v>0</v>
      </c>
      <c r="AA509" s="49">
        <f>'Kalkulace a Porovnání'!AA509</f>
        <v>0</v>
      </c>
      <c r="AB509" s="32">
        <f>'Kalkulace a Porovnání'!AB509</f>
        <v>0</v>
      </c>
      <c r="AC509" s="183"/>
      <c r="AD509" s="547"/>
      <c r="AG509" s="342"/>
      <c r="AH509" s="342"/>
      <c r="AI509" s="342"/>
      <c r="AJ509" s="342"/>
      <c r="AK509" s="547"/>
      <c r="AL509" s="183"/>
    </row>
    <row r="510" spans="2:38" x14ac:dyDescent="0.25">
      <c r="B510" s="12" t="s">
        <v>15</v>
      </c>
      <c r="C510" s="13" t="s">
        <v>16</v>
      </c>
      <c r="D510" s="3" t="s">
        <v>10</v>
      </c>
      <c r="E510" s="49">
        <f>'Kalkulace a Porovnání'!E510</f>
        <v>0</v>
      </c>
      <c r="F510" s="49">
        <f>'Kalkulace a Porovnání'!F510</f>
        <v>0</v>
      </c>
      <c r="G510" s="49">
        <f>'Kalkulace a Porovnání'!G510</f>
        <v>0</v>
      </c>
      <c r="H510" s="32">
        <f>'Kalkulace a Porovnání'!H510</f>
        <v>0</v>
      </c>
      <c r="K510" s="12" t="s">
        <v>15</v>
      </c>
      <c r="L510" s="13" t="s">
        <v>16</v>
      </c>
      <c r="M510" s="3" t="s">
        <v>10</v>
      </c>
      <c r="N510" s="49">
        <f>'Kalkulace a Porovnání'!N510</f>
        <v>0</v>
      </c>
      <c r="O510" s="49">
        <f>'Kalkulace a Porovnání'!O510</f>
        <v>0</v>
      </c>
      <c r="P510" s="49">
        <f>'Kalkulace a Porovnání'!P510</f>
        <v>0</v>
      </c>
      <c r="Q510" s="32">
        <f>'Kalkulace a Porovnání'!Q510</f>
        <v>0</v>
      </c>
      <c r="T510" s="12" t="s">
        <v>15</v>
      </c>
      <c r="U510" s="13" t="s">
        <v>16</v>
      </c>
      <c r="V510" s="3" t="s">
        <v>10</v>
      </c>
      <c r="W510" s="49">
        <f>'Kalkulace a Porovnání'!W510</f>
        <v>0</v>
      </c>
      <c r="X510" s="49">
        <f>'Kalkulace a Porovnání'!X510</f>
        <v>0</v>
      </c>
      <c r="Y510" s="49">
        <f>'Kalkulace a Porovnání'!Y510</f>
        <v>0</v>
      </c>
      <c r="Z510" s="49">
        <f>'Kalkulace a Porovnání'!Z510</f>
        <v>0</v>
      </c>
      <c r="AA510" s="49">
        <f>'Kalkulace a Porovnání'!AA510</f>
        <v>0</v>
      </c>
      <c r="AB510" s="32">
        <f>'Kalkulace a Porovnání'!AB510</f>
        <v>0</v>
      </c>
      <c r="AC510" s="183"/>
      <c r="AD510" s="547"/>
      <c r="AG510" s="342"/>
      <c r="AH510" s="342"/>
      <c r="AI510" s="342"/>
      <c r="AJ510" s="342"/>
      <c r="AK510" s="547"/>
      <c r="AL510" s="183"/>
    </row>
    <row r="511" spans="2:38" x14ac:dyDescent="0.25">
      <c r="B511" s="12" t="s">
        <v>17</v>
      </c>
      <c r="C511" s="13" t="s">
        <v>18</v>
      </c>
      <c r="D511" s="3" t="s">
        <v>10</v>
      </c>
      <c r="E511" s="49">
        <f>'Kalkulace a Porovnání'!E511</f>
        <v>0</v>
      </c>
      <c r="F511" s="49">
        <f>'Kalkulace a Porovnání'!F511</f>
        <v>0</v>
      </c>
      <c r="G511" s="49">
        <f>'Kalkulace a Porovnání'!G511</f>
        <v>0</v>
      </c>
      <c r="H511" s="32">
        <f>'Kalkulace a Porovnání'!H511</f>
        <v>0</v>
      </c>
      <c r="K511" s="12" t="s">
        <v>17</v>
      </c>
      <c r="L511" s="13" t="s">
        <v>18</v>
      </c>
      <c r="M511" s="3" t="s">
        <v>10</v>
      </c>
      <c r="N511" s="49">
        <f>'Kalkulace a Porovnání'!N511</f>
        <v>0</v>
      </c>
      <c r="O511" s="49">
        <f>'Kalkulace a Porovnání'!O511</f>
        <v>0</v>
      </c>
      <c r="P511" s="49">
        <f>'Kalkulace a Porovnání'!P511</f>
        <v>0</v>
      </c>
      <c r="Q511" s="32">
        <f>'Kalkulace a Porovnání'!Q511</f>
        <v>0</v>
      </c>
      <c r="T511" s="12" t="s">
        <v>17</v>
      </c>
      <c r="U511" s="13" t="s">
        <v>18</v>
      </c>
      <c r="V511" s="3" t="s">
        <v>10</v>
      </c>
      <c r="W511" s="49">
        <f>'Kalkulace a Porovnání'!W511</f>
        <v>0</v>
      </c>
      <c r="X511" s="49">
        <f>'Kalkulace a Porovnání'!X511</f>
        <v>0</v>
      </c>
      <c r="Y511" s="49">
        <f>'Kalkulace a Porovnání'!Y511</f>
        <v>0</v>
      </c>
      <c r="Z511" s="49">
        <f>'Kalkulace a Porovnání'!Z511</f>
        <v>0</v>
      </c>
      <c r="AA511" s="49">
        <f>'Kalkulace a Porovnání'!AA511</f>
        <v>0</v>
      </c>
      <c r="AB511" s="32">
        <f>'Kalkulace a Porovnání'!AB511</f>
        <v>0</v>
      </c>
      <c r="AC511" s="183"/>
      <c r="AD511" s="547"/>
      <c r="AG511" s="342"/>
      <c r="AH511" s="342"/>
      <c r="AI511" s="342"/>
      <c r="AJ511" s="342"/>
      <c r="AK511" s="547"/>
      <c r="AL511" s="183"/>
    </row>
    <row r="512" spans="2:38" x14ac:dyDescent="0.25">
      <c r="B512" s="9" t="s">
        <v>19</v>
      </c>
      <c r="C512" s="10" t="s">
        <v>20</v>
      </c>
      <c r="D512" s="11" t="s">
        <v>10</v>
      </c>
      <c r="E512" s="46">
        <f>'Kalkulace a Porovnání'!E512</f>
        <v>0</v>
      </c>
      <c r="F512" s="46">
        <f>'Kalkulace a Porovnání'!F512</f>
        <v>0</v>
      </c>
      <c r="G512" s="46">
        <f>'Kalkulace a Porovnání'!G512</f>
        <v>0</v>
      </c>
      <c r="H512" s="98">
        <f>'Kalkulace a Porovnání'!H512</f>
        <v>0</v>
      </c>
      <c r="K512" s="9" t="s">
        <v>19</v>
      </c>
      <c r="L512" s="10" t="s">
        <v>20</v>
      </c>
      <c r="M512" s="11" t="s">
        <v>10</v>
      </c>
      <c r="N512" s="46">
        <f>'Kalkulace a Porovnání'!N512</f>
        <v>0</v>
      </c>
      <c r="O512" s="46">
        <f>'Kalkulace a Porovnání'!O512</f>
        <v>0</v>
      </c>
      <c r="P512" s="46">
        <f>'Kalkulace a Porovnání'!P512</f>
        <v>0</v>
      </c>
      <c r="Q512" s="98">
        <f>'Kalkulace a Porovnání'!Q512</f>
        <v>0</v>
      </c>
      <c r="T512" s="9" t="s">
        <v>19</v>
      </c>
      <c r="U512" s="10" t="s">
        <v>20</v>
      </c>
      <c r="V512" s="11" t="s">
        <v>10</v>
      </c>
      <c r="W512" s="46">
        <f>'Kalkulace a Porovnání'!W512</f>
        <v>0</v>
      </c>
      <c r="X512" s="46">
        <f>'Kalkulace a Porovnání'!X512</f>
        <v>0</v>
      </c>
      <c r="Y512" s="46">
        <f>'Kalkulace a Porovnání'!Y512</f>
        <v>0</v>
      </c>
      <c r="Z512" s="46">
        <f>'Kalkulace a Porovnání'!Z512</f>
        <v>0</v>
      </c>
      <c r="AA512" s="46">
        <f>'Kalkulace a Porovnání'!AA512</f>
        <v>0</v>
      </c>
      <c r="AB512" s="98">
        <f>'Kalkulace a Porovnání'!AB512</f>
        <v>0</v>
      </c>
      <c r="AC512" s="183"/>
      <c r="AD512" s="547"/>
      <c r="AG512" s="342"/>
      <c r="AH512" s="342"/>
      <c r="AI512" s="342"/>
      <c r="AJ512" s="342"/>
      <c r="AK512" s="547"/>
      <c r="AL512" s="183"/>
    </row>
    <row r="513" spans="2:38" x14ac:dyDescent="0.25">
      <c r="B513" s="12" t="s">
        <v>21</v>
      </c>
      <c r="C513" s="12" t="s">
        <v>22</v>
      </c>
      <c r="D513" s="3" t="s">
        <v>10</v>
      </c>
      <c r="E513" s="49">
        <f>'Kalkulace a Porovnání'!E513</f>
        <v>0</v>
      </c>
      <c r="F513" s="49">
        <f>'Kalkulace a Porovnání'!F513</f>
        <v>0</v>
      </c>
      <c r="G513" s="49">
        <f>'Kalkulace a Porovnání'!G513</f>
        <v>0</v>
      </c>
      <c r="H513" s="32">
        <f>'Kalkulace a Porovnání'!H513</f>
        <v>0</v>
      </c>
      <c r="K513" s="12" t="s">
        <v>21</v>
      </c>
      <c r="L513" s="12" t="s">
        <v>22</v>
      </c>
      <c r="M513" s="3" t="s">
        <v>10</v>
      </c>
      <c r="N513" s="49">
        <f>'Kalkulace a Porovnání'!N513</f>
        <v>0</v>
      </c>
      <c r="O513" s="49">
        <f>'Kalkulace a Porovnání'!O513</f>
        <v>0</v>
      </c>
      <c r="P513" s="49">
        <f>'Kalkulace a Porovnání'!P513</f>
        <v>0</v>
      </c>
      <c r="Q513" s="32">
        <f>'Kalkulace a Porovnání'!Q513</f>
        <v>0</v>
      </c>
      <c r="T513" s="12" t="s">
        <v>21</v>
      </c>
      <c r="U513" s="12" t="s">
        <v>22</v>
      </c>
      <c r="V513" s="3" t="s">
        <v>10</v>
      </c>
      <c r="W513" s="49">
        <f>'Kalkulace a Porovnání'!W513</f>
        <v>0</v>
      </c>
      <c r="X513" s="49">
        <f>'Kalkulace a Porovnání'!X513</f>
        <v>0</v>
      </c>
      <c r="Y513" s="49">
        <f>'Kalkulace a Porovnání'!Y513</f>
        <v>0</v>
      </c>
      <c r="Z513" s="49">
        <f>'Kalkulace a Porovnání'!Z513</f>
        <v>0</v>
      </c>
      <c r="AA513" s="49">
        <f>'Kalkulace a Porovnání'!AA513</f>
        <v>0</v>
      </c>
      <c r="AB513" s="32">
        <f>'Kalkulace a Porovnání'!AB513</f>
        <v>0</v>
      </c>
      <c r="AC513" s="183"/>
      <c r="AD513" s="547"/>
      <c r="AG513" s="342"/>
      <c r="AH513" s="342"/>
      <c r="AI513" s="342"/>
      <c r="AJ513" s="342"/>
      <c r="AK513" s="547"/>
      <c r="AL513" s="183"/>
    </row>
    <row r="514" spans="2:38" x14ac:dyDescent="0.25">
      <c r="B514" s="12" t="s">
        <v>23</v>
      </c>
      <c r="C514" s="12" t="s">
        <v>24</v>
      </c>
      <c r="D514" s="3" t="s">
        <v>10</v>
      </c>
      <c r="E514" s="49">
        <f>'Kalkulace a Porovnání'!E514</f>
        <v>0</v>
      </c>
      <c r="F514" s="49">
        <f>'Kalkulace a Porovnání'!F514</f>
        <v>0</v>
      </c>
      <c r="G514" s="49">
        <f>'Kalkulace a Porovnání'!G514</f>
        <v>0</v>
      </c>
      <c r="H514" s="32">
        <f>'Kalkulace a Porovnání'!H514</f>
        <v>0</v>
      </c>
      <c r="K514" s="12" t="s">
        <v>23</v>
      </c>
      <c r="L514" s="12" t="s">
        <v>24</v>
      </c>
      <c r="M514" s="3" t="s">
        <v>10</v>
      </c>
      <c r="N514" s="49">
        <f>'Kalkulace a Porovnání'!N514</f>
        <v>0</v>
      </c>
      <c r="O514" s="49">
        <f>'Kalkulace a Porovnání'!O514</f>
        <v>0</v>
      </c>
      <c r="P514" s="49">
        <f>'Kalkulace a Porovnání'!P514</f>
        <v>0</v>
      </c>
      <c r="Q514" s="32">
        <f>'Kalkulace a Porovnání'!Q514</f>
        <v>0</v>
      </c>
      <c r="T514" s="12" t="s">
        <v>23</v>
      </c>
      <c r="U514" s="12" t="s">
        <v>24</v>
      </c>
      <c r="V514" s="3" t="s">
        <v>10</v>
      </c>
      <c r="W514" s="49">
        <f>'Kalkulace a Porovnání'!W514</f>
        <v>0</v>
      </c>
      <c r="X514" s="49">
        <f>'Kalkulace a Porovnání'!X514</f>
        <v>0</v>
      </c>
      <c r="Y514" s="49">
        <f>'Kalkulace a Porovnání'!Y514</f>
        <v>0</v>
      </c>
      <c r="Z514" s="49">
        <f>'Kalkulace a Porovnání'!Z514</f>
        <v>0</v>
      </c>
      <c r="AA514" s="49">
        <f>'Kalkulace a Porovnání'!AA514</f>
        <v>0</v>
      </c>
      <c r="AB514" s="32">
        <f>'Kalkulace a Porovnání'!AB514</f>
        <v>0</v>
      </c>
      <c r="AC514" s="183"/>
      <c r="AD514" s="547"/>
      <c r="AG514" s="342"/>
      <c r="AH514" s="342"/>
      <c r="AI514" s="342"/>
      <c r="AJ514" s="342"/>
      <c r="AK514" s="547"/>
      <c r="AL514" s="183"/>
    </row>
    <row r="515" spans="2:38" x14ac:dyDescent="0.25">
      <c r="B515" s="9" t="s">
        <v>25</v>
      </c>
      <c r="C515" s="10" t="s">
        <v>26</v>
      </c>
      <c r="D515" s="11" t="s">
        <v>10</v>
      </c>
      <c r="E515" s="46">
        <f>'Kalkulace a Porovnání'!E515</f>
        <v>0</v>
      </c>
      <c r="F515" s="46">
        <f>'Kalkulace a Porovnání'!F515</f>
        <v>0</v>
      </c>
      <c r="G515" s="46">
        <f>'Kalkulace a Porovnání'!G515</f>
        <v>0</v>
      </c>
      <c r="H515" s="98">
        <f>'Kalkulace a Porovnání'!H515</f>
        <v>0</v>
      </c>
      <c r="K515" s="9" t="s">
        <v>25</v>
      </c>
      <c r="L515" s="10" t="s">
        <v>26</v>
      </c>
      <c r="M515" s="11" t="s">
        <v>10</v>
      </c>
      <c r="N515" s="46">
        <f>'Kalkulace a Porovnání'!N515</f>
        <v>0</v>
      </c>
      <c r="O515" s="46">
        <f>'Kalkulace a Porovnání'!O515</f>
        <v>0</v>
      </c>
      <c r="P515" s="46">
        <f>'Kalkulace a Porovnání'!P515</f>
        <v>0</v>
      </c>
      <c r="Q515" s="98">
        <f>'Kalkulace a Porovnání'!Q515</f>
        <v>0</v>
      </c>
      <c r="T515" s="9" t="s">
        <v>25</v>
      </c>
      <c r="U515" s="10" t="s">
        <v>26</v>
      </c>
      <c r="V515" s="11" t="s">
        <v>10</v>
      </c>
      <c r="W515" s="46">
        <f>'Kalkulace a Porovnání'!W515</f>
        <v>0</v>
      </c>
      <c r="X515" s="46">
        <f>'Kalkulace a Porovnání'!X515</f>
        <v>0</v>
      </c>
      <c r="Y515" s="46">
        <f>'Kalkulace a Porovnání'!Y515</f>
        <v>0</v>
      </c>
      <c r="Z515" s="46">
        <f>'Kalkulace a Porovnání'!Z515</f>
        <v>0</v>
      </c>
      <c r="AA515" s="46">
        <f>'Kalkulace a Porovnání'!AA515</f>
        <v>0</v>
      </c>
      <c r="AB515" s="98">
        <f>'Kalkulace a Porovnání'!AB515</f>
        <v>0</v>
      </c>
      <c r="AC515" s="183"/>
      <c r="AD515" s="547"/>
      <c r="AG515" s="342"/>
      <c r="AH515" s="342"/>
      <c r="AI515" s="342"/>
      <c r="AJ515" s="342"/>
      <c r="AK515" s="547"/>
      <c r="AL515" s="183"/>
    </row>
    <row r="516" spans="2:38" x14ac:dyDescent="0.25">
      <c r="B516" s="12" t="s">
        <v>27</v>
      </c>
      <c r="C516" s="13" t="s">
        <v>28</v>
      </c>
      <c r="D516" s="3" t="s">
        <v>10</v>
      </c>
      <c r="E516" s="49">
        <f>'Kalkulace a Porovnání'!E516</f>
        <v>0</v>
      </c>
      <c r="F516" s="49">
        <f>'Kalkulace a Porovnání'!F516</f>
        <v>0</v>
      </c>
      <c r="G516" s="49">
        <f>'Kalkulace a Porovnání'!G516</f>
        <v>0</v>
      </c>
      <c r="H516" s="32">
        <f>'Kalkulace a Porovnání'!H516</f>
        <v>0</v>
      </c>
      <c r="K516" s="12" t="s">
        <v>27</v>
      </c>
      <c r="L516" s="13" t="s">
        <v>28</v>
      </c>
      <c r="M516" s="3" t="s">
        <v>10</v>
      </c>
      <c r="N516" s="49">
        <f>'Kalkulace a Porovnání'!N516</f>
        <v>0</v>
      </c>
      <c r="O516" s="49">
        <f>'Kalkulace a Porovnání'!O516</f>
        <v>0</v>
      </c>
      <c r="P516" s="49">
        <f>'Kalkulace a Porovnání'!P516</f>
        <v>0</v>
      </c>
      <c r="Q516" s="32">
        <f>'Kalkulace a Porovnání'!Q516</f>
        <v>0</v>
      </c>
      <c r="T516" s="12" t="s">
        <v>27</v>
      </c>
      <c r="U516" s="13" t="s">
        <v>28</v>
      </c>
      <c r="V516" s="3" t="s">
        <v>10</v>
      </c>
      <c r="W516" s="49">
        <f>'Kalkulace a Porovnání'!W516</f>
        <v>0</v>
      </c>
      <c r="X516" s="49">
        <f>'Kalkulace a Porovnání'!X516</f>
        <v>0</v>
      </c>
      <c r="Y516" s="49">
        <f>'Kalkulace a Porovnání'!Y516</f>
        <v>0</v>
      </c>
      <c r="Z516" s="49">
        <f>'Kalkulace a Porovnání'!Z516</f>
        <v>0</v>
      </c>
      <c r="AA516" s="49">
        <f>'Kalkulace a Porovnání'!AA516</f>
        <v>0</v>
      </c>
      <c r="AB516" s="32">
        <f>'Kalkulace a Porovnání'!AB516</f>
        <v>0</v>
      </c>
      <c r="AC516" s="183"/>
      <c r="AD516" s="547"/>
      <c r="AG516" s="342"/>
      <c r="AH516" s="342"/>
      <c r="AI516" s="342"/>
      <c r="AJ516" s="342"/>
      <c r="AK516" s="547"/>
      <c r="AL516" s="183"/>
    </row>
    <row r="517" spans="2:38" x14ac:dyDescent="0.25">
      <c r="B517" s="12" t="s">
        <v>29</v>
      </c>
      <c r="C517" s="13" t="s">
        <v>30</v>
      </c>
      <c r="D517" s="3" t="s">
        <v>10</v>
      </c>
      <c r="E517" s="49">
        <f>'Kalkulace a Porovnání'!E517</f>
        <v>0</v>
      </c>
      <c r="F517" s="49">
        <f>'Kalkulace a Porovnání'!F517</f>
        <v>0</v>
      </c>
      <c r="G517" s="49">
        <f>'Kalkulace a Porovnání'!G517</f>
        <v>0</v>
      </c>
      <c r="H517" s="32">
        <f>'Kalkulace a Porovnání'!H517</f>
        <v>0</v>
      </c>
      <c r="K517" s="12" t="s">
        <v>29</v>
      </c>
      <c r="L517" s="13" t="s">
        <v>30</v>
      </c>
      <c r="M517" s="3" t="s">
        <v>10</v>
      </c>
      <c r="N517" s="49">
        <f>'Kalkulace a Porovnání'!N517</f>
        <v>0</v>
      </c>
      <c r="O517" s="49">
        <f>'Kalkulace a Porovnání'!O517</f>
        <v>0</v>
      </c>
      <c r="P517" s="49">
        <f>'Kalkulace a Porovnání'!P517</f>
        <v>0</v>
      </c>
      <c r="Q517" s="32">
        <f>'Kalkulace a Porovnání'!Q517</f>
        <v>0</v>
      </c>
      <c r="T517" s="12" t="s">
        <v>29</v>
      </c>
      <c r="U517" s="13" t="s">
        <v>30</v>
      </c>
      <c r="V517" s="3" t="s">
        <v>10</v>
      </c>
      <c r="W517" s="49">
        <f>'Kalkulace a Porovnání'!W517</f>
        <v>0</v>
      </c>
      <c r="X517" s="49">
        <f>'Kalkulace a Porovnání'!X517</f>
        <v>0</v>
      </c>
      <c r="Y517" s="49">
        <f>'Kalkulace a Porovnání'!Y517</f>
        <v>0</v>
      </c>
      <c r="Z517" s="49">
        <f>'Kalkulace a Porovnání'!Z517</f>
        <v>0</v>
      </c>
      <c r="AA517" s="49">
        <f>'Kalkulace a Porovnání'!AA517</f>
        <v>0</v>
      </c>
      <c r="AB517" s="32">
        <f>'Kalkulace a Porovnání'!AB517</f>
        <v>0</v>
      </c>
      <c r="AC517" s="183"/>
      <c r="AD517" s="547"/>
      <c r="AG517" s="342"/>
      <c r="AH517" s="342"/>
      <c r="AI517" s="342"/>
      <c r="AJ517" s="342"/>
      <c r="AK517" s="547"/>
      <c r="AL517" s="183"/>
    </row>
    <row r="518" spans="2:38" x14ac:dyDescent="0.25">
      <c r="B518" s="9" t="s">
        <v>31</v>
      </c>
      <c r="C518" s="10" t="s">
        <v>32</v>
      </c>
      <c r="D518" s="11" t="s">
        <v>10</v>
      </c>
      <c r="E518" s="46">
        <f>'Kalkulace a Porovnání'!E518</f>
        <v>0</v>
      </c>
      <c r="F518" s="46">
        <f>'Kalkulace a Porovnání'!F518</f>
        <v>0</v>
      </c>
      <c r="G518" s="46">
        <f>'Kalkulace a Porovnání'!G518</f>
        <v>0</v>
      </c>
      <c r="H518" s="98">
        <f>'Kalkulace a Porovnání'!H518</f>
        <v>0</v>
      </c>
      <c r="K518" s="9" t="s">
        <v>31</v>
      </c>
      <c r="L518" s="10" t="s">
        <v>32</v>
      </c>
      <c r="M518" s="11" t="s">
        <v>10</v>
      </c>
      <c r="N518" s="46">
        <f>'Kalkulace a Porovnání'!N518</f>
        <v>0</v>
      </c>
      <c r="O518" s="46">
        <f>'Kalkulace a Porovnání'!O518</f>
        <v>0</v>
      </c>
      <c r="P518" s="46">
        <f>'Kalkulace a Porovnání'!P518</f>
        <v>0</v>
      </c>
      <c r="Q518" s="98">
        <f>'Kalkulace a Porovnání'!Q518</f>
        <v>0</v>
      </c>
      <c r="T518" s="9" t="s">
        <v>31</v>
      </c>
      <c r="U518" s="10" t="s">
        <v>32</v>
      </c>
      <c r="V518" s="11" t="s">
        <v>10</v>
      </c>
      <c r="W518" s="46">
        <f>'Kalkulace a Porovnání'!W518</f>
        <v>0</v>
      </c>
      <c r="X518" s="46">
        <f>'Kalkulace a Porovnání'!X518</f>
        <v>0</v>
      </c>
      <c r="Y518" s="46">
        <f>'Kalkulace a Porovnání'!Y518</f>
        <v>0</v>
      </c>
      <c r="Z518" s="46">
        <f>'Kalkulace a Porovnání'!Z518</f>
        <v>0</v>
      </c>
      <c r="AA518" s="46">
        <f>'Kalkulace a Porovnání'!AA518</f>
        <v>0</v>
      </c>
      <c r="AB518" s="98">
        <f>'Kalkulace a Porovnání'!AB518</f>
        <v>0</v>
      </c>
      <c r="AC518" s="183"/>
      <c r="AD518" s="547"/>
      <c r="AG518" s="342"/>
      <c r="AH518" s="342"/>
      <c r="AI518" s="342"/>
      <c r="AJ518" s="342"/>
      <c r="AK518" s="547"/>
      <c r="AL518" s="183"/>
    </row>
    <row r="519" spans="2:38" x14ac:dyDescent="0.25">
      <c r="B519" s="12" t="s">
        <v>33</v>
      </c>
      <c r="C519" s="21" t="s">
        <v>34</v>
      </c>
      <c r="D519" s="3" t="s">
        <v>10</v>
      </c>
      <c r="E519" s="49">
        <f>'Kalkulace a Porovnání'!E519</f>
        <v>0</v>
      </c>
      <c r="F519" s="49">
        <f>'Kalkulace a Porovnání'!F519</f>
        <v>0</v>
      </c>
      <c r="G519" s="49">
        <f>'Kalkulace a Porovnání'!G519</f>
        <v>0</v>
      </c>
      <c r="H519" s="32">
        <f>'Kalkulace a Porovnání'!H519</f>
        <v>0</v>
      </c>
      <c r="K519" s="12" t="s">
        <v>33</v>
      </c>
      <c r="L519" s="21" t="s">
        <v>34</v>
      </c>
      <c r="M519" s="3" t="s">
        <v>10</v>
      </c>
      <c r="N519" s="49">
        <f>'Kalkulace a Porovnání'!N519</f>
        <v>0</v>
      </c>
      <c r="O519" s="49">
        <f>'Kalkulace a Porovnání'!O519</f>
        <v>0</v>
      </c>
      <c r="P519" s="49">
        <f>'Kalkulace a Porovnání'!P519</f>
        <v>0</v>
      </c>
      <c r="Q519" s="32">
        <f>'Kalkulace a Porovnání'!Q519</f>
        <v>0</v>
      </c>
      <c r="T519" s="12" t="s">
        <v>33</v>
      </c>
      <c r="U519" s="21" t="s">
        <v>34</v>
      </c>
      <c r="V519" s="3" t="s">
        <v>10</v>
      </c>
      <c r="W519" s="49">
        <f>'Kalkulace a Porovnání'!W519</f>
        <v>0</v>
      </c>
      <c r="X519" s="49">
        <f>'Kalkulace a Porovnání'!X519</f>
        <v>0</v>
      </c>
      <c r="Y519" s="49">
        <f>'Kalkulace a Porovnání'!Y519</f>
        <v>0</v>
      </c>
      <c r="Z519" s="49">
        <f>'Kalkulace a Porovnání'!Z519</f>
        <v>0</v>
      </c>
      <c r="AA519" s="49">
        <f>'Kalkulace a Porovnání'!AA519</f>
        <v>0</v>
      </c>
      <c r="AB519" s="32">
        <f>'Kalkulace a Porovnání'!AB519</f>
        <v>0</v>
      </c>
      <c r="AC519" s="183"/>
      <c r="AD519" s="547"/>
      <c r="AG519" s="547"/>
      <c r="AH519" s="547"/>
      <c r="AI519" s="342"/>
      <c r="AJ519" s="342"/>
      <c r="AK519" s="547"/>
      <c r="AL519" s="183"/>
    </row>
    <row r="520" spans="2:38" x14ac:dyDescent="0.25">
      <c r="B520" s="12" t="s">
        <v>35</v>
      </c>
      <c r="C520" s="13" t="s">
        <v>36</v>
      </c>
      <c r="D520" s="3" t="s">
        <v>10</v>
      </c>
      <c r="E520" s="49">
        <f>'Kalkulace a Porovnání'!E520</f>
        <v>0</v>
      </c>
      <c r="F520" s="49">
        <f>'Kalkulace a Porovnání'!F520</f>
        <v>0</v>
      </c>
      <c r="G520" s="49">
        <f>'Kalkulace a Porovnání'!G520</f>
        <v>0</v>
      </c>
      <c r="H520" s="32">
        <f>'Kalkulace a Porovnání'!H520</f>
        <v>0</v>
      </c>
      <c r="K520" s="12" t="s">
        <v>35</v>
      </c>
      <c r="L520" s="13" t="s">
        <v>36</v>
      </c>
      <c r="M520" s="3" t="s">
        <v>10</v>
      </c>
      <c r="N520" s="49">
        <f>'Kalkulace a Porovnání'!N520</f>
        <v>0</v>
      </c>
      <c r="O520" s="49">
        <f>'Kalkulace a Porovnání'!O520</f>
        <v>0</v>
      </c>
      <c r="P520" s="49">
        <f>'Kalkulace a Porovnání'!P520</f>
        <v>0</v>
      </c>
      <c r="Q520" s="32">
        <f>'Kalkulace a Porovnání'!Q520</f>
        <v>0</v>
      </c>
      <c r="T520" s="12" t="s">
        <v>35</v>
      </c>
      <c r="U520" s="13" t="s">
        <v>36</v>
      </c>
      <c r="V520" s="3" t="s">
        <v>10</v>
      </c>
      <c r="W520" s="49">
        <f>'Kalkulace a Porovnání'!W520</f>
        <v>0</v>
      </c>
      <c r="X520" s="49">
        <f>'Kalkulace a Porovnání'!X520</f>
        <v>0</v>
      </c>
      <c r="Y520" s="49">
        <f>'Kalkulace a Porovnání'!Y520</f>
        <v>0</v>
      </c>
      <c r="Z520" s="49">
        <f>'Kalkulace a Porovnání'!Z520</f>
        <v>0</v>
      </c>
      <c r="AA520" s="49">
        <f>'Kalkulace a Porovnání'!AA520</f>
        <v>0</v>
      </c>
      <c r="AB520" s="32">
        <f>'Kalkulace a Porovnání'!AB520</f>
        <v>0</v>
      </c>
      <c r="AC520" s="183"/>
      <c r="AD520" s="547"/>
      <c r="AG520" s="547"/>
      <c r="AH520" s="547"/>
      <c r="AI520" s="342"/>
      <c r="AJ520" s="342"/>
      <c r="AK520" s="547"/>
      <c r="AL520" s="183"/>
    </row>
    <row r="521" spans="2:38" x14ac:dyDescent="0.25">
      <c r="B521" s="12" t="s">
        <v>37</v>
      </c>
      <c r="C521" s="13" t="s">
        <v>38</v>
      </c>
      <c r="D521" s="3" t="s">
        <v>10</v>
      </c>
      <c r="E521" s="49">
        <f>'Kalkulace a Porovnání'!E521</f>
        <v>0</v>
      </c>
      <c r="F521" s="49">
        <f>'Kalkulace a Porovnání'!F521</f>
        <v>0</v>
      </c>
      <c r="G521" s="49">
        <f>'Kalkulace a Porovnání'!G521</f>
        <v>0</v>
      </c>
      <c r="H521" s="32">
        <f>'Kalkulace a Porovnání'!H521</f>
        <v>0</v>
      </c>
      <c r="K521" s="12" t="s">
        <v>37</v>
      </c>
      <c r="L521" s="13" t="s">
        <v>38</v>
      </c>
      <c r="M521" s="3" t="s">
        <v>10</v>
      </c>
      <c r="N521" s="49">
        <f>'Kalkulace a Porovnání'!N521</f>
        <v>0</v>
      </c>
      <c r="O521" s="49">
        <f>'Kalkulace a Porovnání'!O521</f>
        <v>0</v>
      </c>
      <c r="P521" s="49">
        <f>'Kalkulace a Porovnání'!P521</f>
        <v>0</v>
      </c>
      <c r="Q521" s="32">
        <f>'Kalkulace a Porovnání'!Q521</f>
        <v>0</v>
      </c>
      <c r="T521" s="12" t="s">
        <v>37</v>
      </c>
      <c r="U521" s="13" t="s">
        <v>38</v>
      </c>
      <c r="V521" s="3" t="s">
        <v>10</v>
      </c>
      <c r="W521" s="49">
        <f>'Kalkulace a Porovnání'!W521</f>
        <v>0</v>
      </c>
      <c r="X521" s="49">
        <f>'Kalkulace a Porovnání'!X521</f>
        <v>0</v>
      </c>
      <c r="Y521" s="49">
        <f>'Kalkulace a Porovnání'!Y521</f>
        <v>0</v>
      </c>
      <c r="Z521" s="49">
        <f>'Kalkulace a Porovnání'!Z521</f>
        <v>0</v>
      </c>
      <c r="AA521" s="49">
        <f>'Kalkulace a Porovnání'!AA521</f>
        <v>0</v>
      </c>
      <c r="AB521" s="32">
        <f>'Kalkulace a Porovnání'!AB521</f>
        <v>0</v>
      </c>
      <c r="AC521" s="183"/>
      <c r="AD521" s="547"/>
      <c r="AG521" s="342"/>
      <c r="AH521" s="342"/>
      <c r="AI521" s="342"/>
      <c r="AJ521" s="342"/>
      <c r="AK521" s="547"/>
      <c r="AL521" s="183"/>
    </row>
    <row r="522" spans="2:38" x14ac:dyDescent="0.25">
      <c r="B522" s="12" t="s">
        <v>39</v>
      </c>
      <c r="C522" s="21" t="s">
        <v>40</v>
      </c>
      <c r="D522" s="3" t="s">
        <v>10</v>
      </c>
      <c r="E522" s="49">
        <f>'Kalkulace a Porovnání'!E522</f>
        <v>0</v>
      </c>
      <c r="F522" s="49">
        <f>'Kalkulace a Porovnání'!F522</f>
        <v>0</v>
      </c>
      <c r="G522" s="49">
        <f>'Kalkulace a Porovnání'!G522</f>
        <v>0</v>
      </c>
      <c r="H522" s="32">
        <f>'Kalkulace a Porovnání'!H522</f>
        <v>0</v>
      </c>
      <c r="K522" s="12" t="s">
        <v>39</v>
      </c>
      <c r="L522" s="21" t="s">
        <v>40</v>
      </c>
      <c r="M522" s="3" t="s">
        <v>10</v>
      </c>
      <c r="N522" s="49">
        <f>'Kalkulace a Porovnání'!N522</f>
        <v>0</v>
      </c>
      <c r="O522" s="49">
        <f>'Kalkulace a Porovnání'!O522</f>
        <v>0</v>
      </c>
      <c r="P522" s="49">
        <f>'Kalkulace a Porovnání'!P522</f>
        <v>0</v>
      </c>
      <c r="Q522" s="32">
        <f>'Kalkulace a Porovnání'!Q522</f>
        <v>0</v>
      </c>
      <c r="T522" s="12" t="s">
        <v>39</v>
      </c>
      <c r="U522" s="21" t="s">
        <v>40</v>
      </c>
      <c r="V522" s="3" t="s">
        <v>10</v>
      </c>
      <c r="W522" s="49">
        <f>'Kalkulace a Porovnání'!W522</f>
        <v>0</v>
      </c>
      <c r="X522" s="49">
        <f>'Kalkulace a Porovnání'!X522</f>
        <v>0</v>
      </c>
      <c r="Y522" s="49">
        <f>'Kalkulace a Porovnání'!Y522</f>
        <v>0</v>
      </c>
      <c r="Z522" s="49">
        <f>'Kalkulace a Porovnání'!Z522</f>
        <v>0</v>
      </c>
      <c r="AA522" s="49">
        <f>'Kalkulace a Porovnání'!AA522</f>
        <v>0</v>
      </c>
      <c r="AB522" s="32">
        <f>'Kalkulace a Porovnání'!AB522</f>
        <v>0</v>
      </c>
      <c r="AC522" s="183"/>
      <c r="AD522" s="547"/>
      <c r="AG522" s="342"/>
      <c r="AH522" s="342"/>
      <c r="AI522" s="342"/>
      <c r="AJ522" s="342"/>
      <c r="AK522" s="547"/>
      <c r="AL522" s="183"/>
    </row>
    <row r="523" spans="2:38" x14ac:dyDescent="0.25">
      <c r="B523" s="9" t="s">
        <v>41</v>
      </c>
      <c r="C523" s="10" t="s">
        <v>42</v>
      </c>
      <c r="D523" s="11" t="s">
        <v>10</v>
      </c>
      <c r="E523" s="46">
        <f>'Kalkulace a Porovnání'!E523</f>
        <v>0</v>
      </c>
      <c r="F523" s="46">
        <f>'Kalkulace a Porovnání'!F523</f>
        <v>0</v>
      </c>
      <c r="G523" s="46">
        <f>'Kalkulace a Porovnání'!G523</f>
        <v>0</v>
      </c>
      <c r="H523" s="98">
        <f>'Kalkulace a Porovnání'!H523</f>
        <v>0</v>
      </c>
      <c r="K523" s="9" t="s">
        <v>41</v>
      </c>
      <c r="L523" s="10" t="s">
        <v>42</v>
      </c>
      <c r="M523" s="11" t="s">
        <v>10</v>
      </c>
      <c r="N523" s="46">
        <f>'Kalkulace a Porovnání'!N523</f>
        <v>0</v>
      </c>
      <c r="O523" s="46">
        <f>'Kalkulace a Porovnání'!O523</f>
        <v>0</v>
      </c>
      <c r="P523" s="46">
        <f>'Kalkulace a Porovnání'!P523</f>
        <v>0</v>
      </c>
      <c r="Q523" s="98">
        <f>'Kalkulace a Porovnání'!Q523</f>
        <v>0</v>
      </c>
      <c r="T523" s="9" t="s">
        <v>41</v>
      </c>
      <c r="U523" s="10" t="s">
        <v>42</v>
      </c>
      <c r="V523" s="11" t="s">
        <v>10</v>
      </c>
      <c r="W523" s="46">
        <f>'Kalkulace a Porovnání'!W523</f>
        <v>0</v>
      </c>
      <c r="X523" s="46">
        <f>'Kalkulace a Porovnání'!X523</f>
        <v>0</v>
      </c>
      <c r="Y523" s="46">
        <f>'Kalkulace a Porovnání'!Y523</f>
        <v>0</v>
      </c>
      <c r="Z523" s="46">
        <f>'Kalkulace a Porovnání'!Z523</f>
        <v>0</v>
      </c>
      <c r="AA523" s="46">
        <f>'Kalkulace a Porovnání'!AA523</f>
        <v>0</v>
      </c>
      <c r="AB523" s="98">
        <f>'Kalkulace a Porovnání'!AB523</f>
        <v>0</v>
      </c>
      <c r="AC523" s="183"/>
      <c r="AD523" s="547"/>
      <c r="AG523" s="548"/>
      <c r="AH523" s="548"/>
      <c r="AI523" s="342"/>
      <c r="AJ523" s="342"/>
      <c r="AK523" s="547"/>
      <c r="AL523" s="183"/>
    </row>
    <row r="524" spans="2:38" x14ac:dyDescent="0.25">
      <c r="B524" s="12" t="s">
        <v>43</v>
      </c>
      <c r="C524" s="13" t="s">
        <v>44</v>
      </c>
      <c r="D524" s="3" t="s">
        <v>10</v>
      </c>
      <c r="E524" s="49">
        <f>'Kalkulace a Porovnání'!E524</f>
        <v>0</v>
      </c>
      <c r="F524" s="49">
        <f>'Kalkulace a Porovnání'!F524</f>
        <v>0</v>
      </c>
      <c r="G524" s="49">
        <f>'Kalkulace a Porovnání'!G524</f>
        <v>0</v>
      </c>
      <c r="H524" s="32">
        <f>'Kalkulace a Porovnání'!H524</f>
        <v>0</v>
      </c>
      <c r="K524" s="12" t="s">
        <v>43</v>
      </c>
      <c r="L524" s="13" t="s">
        <v>44</v>
      </c>
      <c r="M524" s="3" t="s">
        <v>10</v>
      </c>
      <c r="N524" s="49">
        <f>'Kalkulace a Porovnání'!N524</f>
        <v>0</v>
      </c>
      <c r="O524" s="49">
        <f>'Kalkulace a Porovnání'!O524</f>
        <v>0</v>
      </c>
      <c r="P524" s="49">
        <f>'Kalkulace a Porovnání'!P524</f>
        <v>0</v>
      </c>
      <c r="Q524" s="32">
        <f>'Kalkulace a Porovnání'!Q524</f>
        <v>0</v>
      </c>
      <c r="T524" s="12" t="s">
        <v>43</v>
      </c>
      <c r="U524" s="13" t="s">
        <v>44</v>
      </c>
      <c r="V524" s="3" t="s">
        <v>10</v>
      </c>
      <c r="W524" s="49">
        <f>'Kalkulace a Porovnání'!W524</f>
        <v>0</v>
      </c>
      <c r="X524" s="49">
        <f>'Kalkulace a Porovnání'!X524</f>
        <v>0</v>
      </c>
      <c r="Y524" s="49">
        <f>'Kalkulace a Porovnání'!Y524</f>
        <v>0</v>
      </c>
      <c r="Z524" s="49">
        <f>'Kalkulace a Porovnání'!Z524</f>
        <v>0</v>
      </c>
      <c r="AA524" s="49">
        <f>'Kalkulace a Porovnání'!AA524</f>
        <v>0</v>
      </c>
      <c r="AB524" s="32">
        <f>'Kalkulace a Porovnání'!AB524</f>
        <v>0</v>
      </c>
      <c r="AC524" s="183"/>
      <c r="AD524" s="547"/>
      <c r="AG524" s="972"/>
      <c r="AH524" s="972"/>
      <c r="AI524" s="342"/>
      <c r="AJ524" s="342"/>
      <c r="AK524" s="547"/>
      <c r="AL524" s="183"/>
    </row>
    <row r="525" spans="2:38" x14ac:dyDescent="0.25">
      <c r="B525" s="12" t="s">
        <v>45</v>
      </c>
      <c r="C525" s="12" t="s">
        <v>46</v>
      </c>
      <c r="D525" s="3" t="s">
        <v>10</v>
      </c>
      <c r="E525" s="49">
        <f>'Kalkulace a Porovnání'!E525</f>
        <v>0</v>
      </c>
      <c r="F525" s="49">
        <f>'Kalkulace a Porovnání'!F525</f>
        <v>0</v>
      </c>
      <c r="G525" s="49">
        <f>'Kalkulace a Porovnání'!G525</f>
        <v>0</v>
      </c>
      <c r="H525" s="32">
        <f>'Kalkulace a Porovnání'!H525</f>
        <v>0</v>
      </c>
      <c r="K525" s="12" t="s">
        <v>45</v>
      </c>
      <c r="L525" s="12" t="s">
        <v>46</v>
      </c>
      <c r="M525" s="3" t="s">
        <v>10</v>
      </c>
      <c r="N525" s="49">
        <f>'Kalkulace a Porovnání'!N525</f>
        <v>0</v>
      </c>
      <c r="O525" s="49">
        <f>'Kalkulace a Porovnání'!O525</f>
        <v>0</v>
      </c>
      <c r="P525" s="49">
        <f>'Kalkulace a Porovnání'!P525</f>
        <v>0</v>
      </c>
      <c r="Q525" s="32">
        <f>'Kalkulace a Porovnání'!Q525</f>
        <v>0</v>
      </c>
      <c r="T525" s="12" t="s">
        <v>45</v>
      </c>
      <c r="U525" s="12" t="s">
        <v>46</v>
      </c>
      <c r="V525" s="3" t="s">
        <v>10</v>
      </c>
      <c r="W525" s="49">
        <f>'Kalkulace a Porovnání'!W525</f>
        <v>0</v>
      </c>
      <c r="X525" s="49">
        <f>'Kalkulace a Porovnání'!X525</f>
        <v>0</v>
      </c>
      <c r="Y525" s="49">
        <f>'Kalkulace a Porovnání'!Y525</f>
        <v>0</v>
      </c>
      <c r="Z525" s="49">
        <f>'Kalkulace a Porovnání'!Z525</f>
        <v>0</v>
      </c>
      <c r="AA525" s="49">
        <f>'Kalkulace a Porovnání'!AA525</f>
        <v>0</v>
      </c>
      <c r="AB525" s="32">
        <f>'Kalkulace a Porovnání'!AB525</f>
        <v>0</v>
      </c>
      <c r="AC525" s="183"/>
      <c r="AD525" s="547"/>
      <c r="AG525" s="972"/>
      <c r="AH525" s="972"/>
      <c r="AI525" s="342"/>
      <c r="AJ525" s="342"/>
      <c r="AK525" s="547"/>
      <c r="AL525" s="183"/>
    </row>
    <row r="526" spans="2:38" x14ac:dyDescent="0.25">
      <c r="B526" s="12" t="s">
        <v>47</v>
      </c>
      <c r="C526" s="13" t="s">
        <v>48</v>
      </c>
      <c r="D526" s="3" t="s">
        <v>10</v>
      </c>
      <c r="E526" s="49">
        <f>'Kalkulace a Porovnání'!E526</f>
        <v>0</v>
      </c>
      <c r="F526" s="49">
        <f>'Kalkulace a Porovnání'!F526</f>
        <v>0</v>
      </c>
      <c r="G526" s="49">
        <f>'Kalkulace a Porovnání'!G526</f>
        <v>0</v>
      </c>
      <c r="H526" s="32">
        <f>'Kalkulace a Porovnání'!H526</f>
        <v>0</v>
      </c>
      <c r="K526" s="12" t="s">
        <v>47</v>
      </c>
      <c r="L526" s="13" t="s">
        <v>48</v>
      </c>
      <c r="M526" s="3" t="s">
        <v>10</v>
      </c>
      <c r="N526" s="49">
        <f>'Kalkulace a Porovnání'!N526</f>
        <v>0</v>
      </c>
      <c r="O526" s="49">
        <f>'Kalkulace a Porovnání'!O526</f>
        <v>0</v>
      </c>
      <c r="P526" s="49">
        <f>'Kalkulace a Porovnání'!P526</f>
        <v>0</v>
      </c>
      <c r="Q526" s="32">
        <f>'Kalkulace a Porovnání'!Q526</f>
        <v>0</v>
      </c>
      <c r="T526" s="12" t="s">
        <v>47</v>
      </c>
      <c r="U526" s="13" t="s">
        <v>48</v>
      </c>
      <c r="V526" s="3" t="s">
        <v>10</v>
      </c>
      <c r="W526" s="49">
        <f>'Kalkulace a Porovnání'!W526</f>
        <v>0</v>
      </c>
      <c r="X526" s="49">
        <f>'Kalkulace a Porovnání'!X526</f>
        <v>0</v>
      </c>
      <c r="Y526" s="49">
        <f>'Kalkulace a Porovnání'!Y526</f>
        <v>0</v>
      </c>
      <c r="Z526" s="49">
        <f>'Kalkulace a Porovnání'!Z526</f>
        <v>0</v>
      </c>
      <c r="AA526" s="49">
        <f>'Kalkulace a Porovnání'!AA526</f>
        <v>0</v>
      </c>
      <c r="AB526" s="32">
        <f>'Kalkulace a Porovnání'!AB526</f>
        <v>0</v>
      </c>
      <c r="AC526" s="183"/>
      <c r="AD526" s="547"/>
      <c r="AG526" s="545"/>
      <c r="AH526" s="545"/>
      <c r="AI526" s="342"/>
      <c r="AJ526" s="342"/>
      <c r="AK526" s="547"/>
      <c r="AL526" s="183"/>
    </row>
    <row r="527" spans="2:38" x14ac:dyDescent="0.25">
      <c r="B527" s="9" t="s">
        <v>49</v>
      </c>
      <c r="C527" s="10" t="s">
        <v>50</v>
      </c>
      <c r="D527" s="11" t="s">
        <v>10</v>
      </c>
      <c r="E527" s="49">
        <f>'Kalkulace a Porovnání'!E527</f>
        <v>0</v>
      </c>
      <c r="F527" s="49">
        <f>'Kalkulace a Porovnání'!F527</f>
        <v>0</v>
      </c>
      <c r="G527" s="49">
        <f>'Kalkulace a Porovnání'!G527</f>
        <v>0</v>
      </c>
      <c r="H527" s="32">
        <f>'Kalkulace a Porovnání'!H527</f>
        <v>0</v>
      </c>
      <c r="K527" s="9" t="s">
        <v>49</v>
      </c>
      <c r="L527" s="10" t="s">
        <v>50</v>
      </c>
      <c r="M527" s="11" t="s">
        <v>10</v>
      </c>
      <c r="N527" s="49">
        <f>'Kalkulace a Porovnání'!N527</f>
        <v>0</v>
      </c>
      <c r="O527" s="49">
        <f>'Kalkulace a Porovnání'!O527</f>
        <v>0</v>
      </c>
      <c r="P527" s="49">
        <f>'Kalkulace a Porovnání'!P527</f>
        <v>0</v>
      </c>
      <c r="Q527" s="32">
        <f>'Kalkulace a Porovnání'!Q527</f>
        <v>0</v>
      </c>
      <c r="T527" s="9" t="s">
        <v>49</v>
      </c>
      <c r="U527" s="10" t="s">
        <v>50</v>
      </c>
      <c r="V527" s="11" t="s">
        <v>10</v>
      </c>
      <c r="W527" s="49">
        <f>'Kalkulace a Porovnání'!W527</f>
        <v>0</v>
      </c>
      <c r="X527" s="49">
        <f>'Kalkulace a Porovnání'!X527</f>
        <v>0</v>
      </c>
      <c r="Y527" s="49">
        <f>'Kalkulace a Porovnání'!Y527</f>
        <v>0</v>
      </c>
      <c r="Z527" s="49">
        <f>'Kalkulace a Porovnání'!Z527</f>
        <v>0</v>
      </c>
      <c r="AA527" s="49">
        <f>'Kalkulace a Porovnání'!AA527</f>
        <v>0</v>
      </c>
      <c r="AB527" s="32">
        <f>'Kalkulace a Porovnání'!AB527</f>
        <v>0</v>
      </c>
      <c r="AC527" s="183"/>
      <c r="AD527" s="547"/>
      <c r="AG527" s="184"/>
      <c r="AH527" s="184"/>
      <c r="AI527" s="342"/>
      <c r="AJ527" s="342"/>
      <c r="AK527" s="547"/>
      <c r="AL527" s="183"/>
    </row>
    <row r="528" spans="2:38" x14ac:dyDescent="0.25">
      <c r="B528" s="9" t="s">
        <v>51</v>
      </c>
      <c r="C528" s="10" t="s">
        <v>52</v>
      </c>
      <c r="D528" s="11" t="s">
        <v>10</v>
      </c>
      <c r="E528" s="49">
        <f>'Kalkulace a Porovnání'!E528</f>
        <v>0</v>
      </c>
      <c r="F528" s="49">
        <f>'Kalkulace a Porovnání'!F528</f>
        <v>0</v>
      </c>
      <c r="G528" s="49">
        <f>'Kalkulace a Porovnání'!G528</f>
        <v>0</v>
      </c>
      <c r="H528" s="32">
        <f>'Kalkulace a Porovnání'!H528</f>
        <v>0</v>
      </c>
      <c r="K528" s="9" t="s">
        <v>51</v>
      </c>
      <c r="L528" s="10" t="s">
        <v>52</v>
      </c>
      <c r="M528" s="11" t="s">
        <v>10</v>
      </c>
      <c r="N528" s="49">
        <f>'Kalkulace a Porovnání'!N528</f>
        <v>0</v>
      </c>
      <c r="O528" s="49">
        <f>'Kalkulace a Porovnání'!O528</f>
        <v>0</v>
      </c>
      <c r="P528" s="49">
        <f>'Kalkulace a Porovnání'!P528</f>
        <v>0</v>
      </c>
      <c r="Q528" s="32">
        <f>'Kalkulace a Porovnání'!Q528</f>
        <v>0</v>
      </c>
      <c r="T528" s="9" t="s">
        <v>51</v>
      </c>
      <c r="U528" s="10" t="s">
        <v>52</v>
      </c>
      <c r="V528" s="11" t="s">
        <v>10</v>
      </c>
      <c r="W528" s="49">
        <f>'Kalkulace a Porovnání'!W528</f>
        <v>0</v>
      </c>
      <c r="X528" s="49">
        <f>'Kalkulace a Porovnání'!X528</f>
        <v>0</v>
      </c>
      <c r="Y528" s="49">
        <f>'Kalkulace a Porovnání'!Y528</f>
        <v>0</v>
      </c>
      <c r="Z528" s="49">
        <f>'Kalkulace a Porovnání'!Z528</f>
        <v>0</v>
      </c>
      <c r="AA528" s="49">
        <f>'Kalkulace a Porovnání'!AA528</f>
        <v>0</v>
      </c>
      <c r="AB528" s="32">
        <f>'Kalkulace a Porovnání'!AB528</f>
        <v>0</v>
      </c>
      <c r="AC528" s="183"/>
      <c r="AD528" s="547"/>
      <c r="AG528" s="184"/>
      <c r="AH528" s="184"/>
      <c r="AI528" s="342"/>
      <c r="AJ528" s="342"/>
      <c r="AK528" s="547"/>
      <c r="AL528" s="183"/>
    </row>
    <row r="529" spans="2:38" x14ac:dyDescent="0.25">
      <c r="B529" s="9" t="s">
        <v>53</v>
      </c>
      <c r="C529" s="10" t="s">
        <v>54</v>
      </c>
      <c r="D529" s="11" t="s">
        <v>10</v>
      </c>
      <c r="E529" s="49">
        <f>'Kalkulace a Porovnání'!E529</f>
        <v>0</v>
      </c>
      <c r="F529" s="49">
        <f>'Kalkulace a Porovnání'!F529</f>
        <v>0</v>
      </c>
      <c r="G529" s="49">
        <f>'Kalkulace a Porovnání'!G529</f>
        <v>0</v>
      </c>
      <c r="H529" s="32">
        <f>'Kalkulace a Porovnání'!H529</f>
        <v>0</v>
      </c>
      <c r="K529" s="9" t="s">
        <v>53</v>
      </c>
      <c r="L529" s="10" t="s">
        <v>54</v>
      </c>
      <c r="M529" s="11" t="s">
        <v>10</v>
      </c>
      <c r="N529" s="49">
        <f>'Kalkulace a Porovnání'!N529</f>
        <v>0</v>
      </c>
      <c r="O529" s="49">
        <f>'Kalkulace a Porovnání'!O529</f>
        <v>0</v>
      </c>
      <c r="P529" s="49">
        <f>'Kalkulace a Porovnání'!P529</f>
        <v>0</v>
      </c>
      <c r="Q529" s="32">
        <f>'Kalkulace a Porovnání'!Q529</f>
        <v>0</v>
      </c>
      <c r="T529" s="9" t="s">
        <v>53</v>
      </c>
      <c r="U529" s="10" t="s">
        <v>54</v>
      </c>
      <c r="V529" s="11" t="s">
        <v>10</v>
      </c>
      <c r="W529" s="49">
        <f>'Kalkulace a Porovnání'!W529</f>
        <v>0</v>
      </c>
      <c r="X529" s="49">
        <f>'Kalkulace a Porovnání'!X529</f>
        <v>0</v>
      </c>
      <c r="Y529" s="49">
        <f>'Kalkulace a Porovnání'!Y529</f>
        <v>0</v>
      </c>
      <c r="Z529" s="49">
        <f>'Kalkulace a Porovnání'!Z529</f>
        <v>0</v>
      </c>
      <c r="AA529" s="49">
        <f>'Kalkulace a Porovnání'!AA529</f>
        <v>0</v>
      </c>
      <c r="AB529" s="32">
        <f>'Kalkulace a Porovnání'!AB529</f>
        <v>0</v>
      </c>
      <c r="AC529" s="183"/>
      <c r="AD529" s="547"/>
      <c r="AG529" s="184"/>
      <c r="AH529" s="184"/>
      <c r="AI529" s="342"/>
      <c r="AJ529" s="342"/>
      <c r="AK529" s="547"/>
      <c r="AL529" s="183"/>
    </row>
    <row r="530" spans="2:38" x14ac:dyDescent="0.25">
      <c r="B530" s="9" t="s">
        <v>55</v>
      </c>
      <c r="C530" s="10" t="s">
        <v>56</v>
      </c>
      <c r="D530" s="11" t="s">
        <v>10</v>
      </c>
      <c r="E530" s="49">
        <f>'Kalkulace a Porovnání'!E530</f>
        <v>0</v>
      </c>
      <c r="F530" s="49">
        <f>'Kalkulace a Porovnání'!F530</f>
        <v>0</v>
      </c>
      <c r="G530" s="49">
        <f>'Kalkulace a Porovnání'!G530</f>
        <v>0</v>
      </c>
      <c r="H530" s="32">
        <f>'Kalkulace a Porovnání'!H530</f>
        <v>0</v>
      </c>
      <c r="K530" s="9" t="s">
        <v>55</v>
      </c>
      <c r="L530" s="10" t="s">
        <v>56</v>
      </c>
      <c r="M530" s="11" t="s">
        <v>10</v>
      </c>
      <c r="N530" s="49">
        <f>'Kalkulace a Porovnání'!N530</f>
        <v>0</v>
      </c>
      <c r="O530" s="49">
        <f>'Kalkulace a Porovnání'!O530</f>
        <v>0</v>
      </c>
      <c r="P530" s="49">
        <f>'Kalkulace a Porovnání'!P530</f>
        <v>0</v>
      </c>
      <c r="Q530" s="32">
        <f>'Kalkulace a Porovnání'!Q530</f>
        <v>0</v>
      </c>
      <c r="T530" s="9" t="s">
        <v>55</v>
      </c>
      <c r="U530" s="10" t="s">
        <v>56</v>
      </c>
      <c r="V530" s="11" t="s">
        <v>10</v>
      </c>
      <c r="W530" s="49">
        <f>'Kalkulace a Porovnání'!W530</f>
        <v>0</v>
      </c>
      <c r="X530" s="49">
        <f>'Kalkulace a Porovnání'!X530</f>
        <v>0</v>
      </c>
      <c r="Y530" s="49">
        <f>'Kalkulace a Porovnání'!Y530</f>
        <v>0</v>
      </c>
      <c r="Z530" s="49">
        <f>'Kalkulace a Porovnání'!Z530</f>
        <v>0</v>
      </c>
      <c r="AA530" s="49">
        <f>'Kalkulace a Porovnání'!AA530</f>
        <v>0</v>
      </c>
      <c r="AB530" s="32">
        <f>'Kalkulace a Porovnání'!AB530</f>
        <v>0</v>
      </c>
      <c r="AC530" s="183"/>
      <c r="AD530" s="547"/>
      <c r="AG530" s="184"/>
      <c r="AH530" s="184"/>
      <c r="AI530" s="342"/>
      <c r="AJ530" s="342"/>
      <c r="AK530" s="547"/>
      <c r="AL530" s="183"/>
    </row>
    <row r="531" spans="2:38" x14ac:dyDescent="0.25">
      <c r="B531" s="9" t="s">
        <v>57</v>
      </c>
      <c r="C531" s="10" t="s">
        <v>58</v>
      </c>
      <c r="D531" s="11" t="s">
        <v>10</v>
      </c>
      <c r="E531" s="46">
        <f>'Kalkulace a Porovnání'!E531</f>
        <v>0</v>
      </c>
      <c r="F531" s="46">
        <f>'Kalkulace a Porovnání'!F531</f>
        <v>0</v>
      </c>
      <c r="G531" s="46">
        <f>'Kalkulace a Porovnání'!G531</f>
        <v>0</v>
      </c>
      <c r="H531" s="98">
        <f>'Kalkulace a Porovnání'!H531</f>
        <v>0</v>
      </c>
      <c r="K531" s="9" t="s">
        <v>57</v>
      </c>
      <c r="L531" s="10" t="s">
        <v>58</v>
      </c>
      <c r="M531" s="11" t="s">
        <v>10</v>
      </c>
      <c r="N531" s="46">
        <f>'Kalkulace a Porovnání'!N531</f>
        <v>0</v>
      </c>
      <c r="O531" s="46">
        <f>'Kalkulace a Porovnání'!O531</f>
        <v>0</v>
      </c>
      <c r="P531" s="46">
        <f>'Kalkulace a Porovnání'!P531</f>
        <v>0</v>
      </c>
      <c r="Q531" s="98">
        <f>'Kalkulace a Porovnání'!Q531</f>
        <v>0</v>
      </c>
      <c r="T531" s="9" t="s">
        <v>57</v>
      </c>
      <c r="U531" s="10" t="s">
        <v>58</v>
      </c>
      <c r="V531" s="11" t="s">
        <v>10</v>
      </c>
      <c r="W531" s="46">
        <f>'Kalkulace a Porovnání'!W531</f>
        <v>0</v>
      </c>
      <c r="X531" s="46">
        <f>'Kalkulace a Porovnání'!X531</f>
        <v>0</v>
      </c>
      <c r="Y531" s="46">
        <f>'Kalkulace a Porovnání'!Y531</f>
        <v>0</v>
      </c>
      <c r="Z531" s="46">
        <f>'Kalkulace a Porovnání'!Z531</f>
        <v>0</v>
      </c>
      <c r="AA531" s="46">
        <f>'Kalkulace a Porovnání'!AA531</f>
        <v>0</v>
      </c>
      <c r="AB531" s="98">
        <f>'Kalkulace a Porovnání'!AB531</f>
        <v>0</v>
      </c>
      <c r="AC531" s="183"/>
      <c r="AD531" s="547"/>
      <c r="AG531" s="184"/>
      <c r="AH531" s="184"/>
      <c r="AI531" s="342"/>
      <c r="AJ531" s="342"/>
      <c r="AK531" s="547"/>
      <c r="AL531" s="183"/>
    </row>
    <row r="532" spans="2:38" x14ac:dyDescent="0.25">
      <c r="B532" s="12" t="s">
        <v>59</v>
      </c>
      <c r="C532" s="13" t="s">
        <v>112</v>
      </c>
      <c r="D532" s="3" t="s">
        <v>10</v>
      </c>
      <c r="E532" s="437">
        <f>'Kalkulace a Porovnání'!E532</f>
        <v>0</v>
      </c>
      <c r="F532" s="437">
        <f>'Kalkulace a Porovnání'!F532</f>
        <v>0</v>
      </c>
      <c r="G532" s="437">
        <f>'Kalkulace a Porovnání'!G532</f>
        <v>0</v>
      </c>
      <c r="H532" s="438">
        <f>'Kalkulace a Porovnání'!H532</f>
        <v>0</v>
      </c>
      <c r="K532" s="12" t="s">
        <v>59</v>
      </c>
      <c r="L532" s="13" t="s">
        <v>112</v>
      </c>
      <c r="M532" s="3" t="s">
        <v>10</v>
      </c>
      <c r="N532" s="437">
        <f>'Kalkulace a Porovnání'!N532</f>
        <v>0</v>
      </c>
      <c r="O532" s="437">
        <f>'Kalkulace a Porovnání'!O532</f>
        <v>0</v>
      </c>
      <c r="P532" s="437">
        <f>'Kalkulace a Porovnání'!P532</f>
        <v>0</v>
      </c>
      <c r="Q532" s="438">
        <f>'Kalkulace a Porovnání'!Q532</f>
        <v>0</v>
      </c>
      <c r="T532" s="12" t="s">
        <v>59</v>
      </c>
      <c r="U532" s="13" t="s">
        <v>112</v>
      </c>
      <c r="V532" s="3" t="s">
        <v>10</v>
      </c>
      <c r="W532" s="437">
        <f>'Kalkulace a Porovnání'!W532</f>
        <v>0</v>
      </c>
      <c r="X532" s="437">
        <f>'Kalkulace a Porovnání'!X532</f>
        <v>0</v>
      </c>
      <c r="Y532" s="437">
        <f>'Kalkulace a Porovnání'!Y532</f>
        <v>0</v>
      </c>
      <c r="Z532" s="437">
        <f>'Kalkulace a Porovnání'!Z532</f>
        <v>0</v>
      </c>
      <c r="AA532" s="437">
        <f>'Kalkulace a Porovnání'!AA532</f>
        <v>0</v>
      </c>
      <c r="AB532" s="438">
        <f>'Kalkulace a Porovnání'!AB532</f>
        <v>0</v>
      </c>
      <c r="AC532" s="183"/>
      <c r="AD532" s="547"/>
      <c r="AG532" s="973"/>
      <c r="AH532" s="973"/>
      <c r="AI532" s="342"/>
      <c r="AJ532" s="342"/>
      <c r="AK532" s="547"/>
      <c r="AL532" s="183"/>
    </row>
    <row r="533" spans="2:38" x14ac:dyDescent="0.25">
      <c r="B533" s="12" t="s">
        <v>60</v>
      </c>
      <c r="C533" s="13" t="s">
        <v>113</v>
      </c>
      <c r="D533" s="3" t="s">
        <v>10</v>
      </c>
      <c r="E533" s="437">
        <f>'Kalkulace a Porovnání'!E533</f>
        <v>0</v>
      </c>
      <c r="F533" s="437">
        <f>'Kalkulace a Porovnání'!F533</f>
        <v>0</v>
      </c>
      <c r="G533" s="437">
        <f>'Kalkulace a Porovnání'!G533</f>
        <v>0</v>
      </c>
      <c r="H533" s="438">
        <f>'Kalkulace a Porovnání'!H533</f>
        <v>0</v>
      </c>
      <c r="K533" s="12" t="s">
        <v>60</v>
      </c>
      <c r="L533" s="13" t="s">
        <v>113</v>
      </c>
      <c r="M533" s="3" t="s">
        <v>10</v>
      </c>
      <c r="N533" s="437">
        <f>'Kalkulace a Porovnání'!N533</f>
        <v>0</v>
      </c>
      <c r="O533" s="437">
        <f>'Kalkulace a Porovnání'!O533</f>
        <v>0</v>
      </c>
      <c r="P533" s="437">
        <f>'Kalkulace a Porovnání'!P533</f>
        <v>0</v>
      </c>
      <c r="Q533" s="438">
        <f>'Kalkulace a Porovnání'!Q533</f>
        <v>0</v>
      </c>
      <c r="T533" s="12" t="s">
        <v>60</v>
      </c>
      <c r="U533" s="13" t="s">
        <v>113</v>
      </c>
      <c r="V533" s="3" t="s">
        <v>10</v>
      </c>
      <c r="W533" s="437">
        <f>'Kalkulace a Porovnání'!W533</f>
        <v>0</v>
      </c>
      <c r="X533" s="437">
        <f>'Kalkulace a Porovnání'!X533</f>
        <v>0</v>
      </c>
      <c r="Y533" s="437">
        <f>'Kalkulace a Porovnání'!Y533</f>
        <v>0</v>
      </c>
      <c r="Z533" s="437">
        <f>'Kalkulace a Porovnání'!Z533</f>
        <v>0</v>
      </c>
      <c r="AA533" s="437">
        <f>'Kalkulace a Porovnání'!AA533</f>
        <v>0</v>
      </c>
      <c r="AB533" s="438">
        <f>'Kalkulace a Porovnání'!AB533</f>
        <v>0</v>
      </c>
      <c r="AC533" s="183"/>
      <c r="AD533" s="547"/>
      <c r="AG533" s="973"/>
      <c r="AH533" s="973"/>
      <c r="AI533" s="342"/>
      <c r="AJ533" s="342"/>
      <c r="AK533" s="547"/>
      <c r="AL533" s="183"/>
    </row>
    <row r="534" spans="2:38" x14ac:dyDescent="0.25">
      <c r="B534" s="12" t="s">
        <v>61</v>
      </c>
      <c r="C534" s="13" t="s">
        <v>62</v>
      </c>
      <c r="D534" s="3" t="s">
        <v>63</v>
      </c>
      <c r="E534" s="439">
        <f>'Kalkulace a Porovnání'!E534</f>
        <v>0</v>
      </c>
      <c r="F534" s="439">
        <f>'Kalkulace a Porovnání'!F534</f>
        <v>0</v>
      </c>
      <c r="G534" s="439">
        <f>'Kalkulace a Porovnání'!G534</f>
        <v>0</v>
      </c>
      <c r="H534" s="440">
        <f>'Kalkulace a Porovnání'!H534</f>
        <v>0</v>
      </c>
      <c r="K534" s="12" t="s">
        <v>61</v>
      </c>
      <c r="L534" s="13" t="s">
        <v>62</v>
      </c>
      <c r="M534" s="3" t="s">
        <v>63</v>
      </c>
      <c r="N534" s="439">
        <f>'Kalkulace a Porovnání'!N534</f>
        <v>0</v>
      </c>
      <c r="O534" s="439">
        <f>'Kalkulace a Porovnání'!O534</f>
        <v>0</v>
      </c>
      <c r="P534" s="439">
        <f>'Kalkulace a Porovnání'!P534</f>
        <v>0</v>
      </c>
      <c r="Q534" s="440">
        <f>'Kalkulace a Porovnání'!Q534</f>
        <v>0</v>
      </c>
      <c r="T534" s="12" t="s">
        <v>61</v>
      </c>
      <c r="U534" s="13" t="s">
        <v>62</v>
      </c>
      <c r="V534" s="3" t="s">
        <v>63</v>
      </c>
      <c r="W534" s="439">
        <f>'Kalkulace a Porovnání'!W534</f>
        <v>0</v>
      </c>
      <c r="X534" s="439">
        <f>'Kalkulace a Porovnání'!X534</f>
        <v>0</v>
      </c>
      <c r="Y534" s="439">
        <f>'Kalkulace a Porovnání'!Y534</f>
        <v>0</v>
      </c>
      <c r="Z534" s="439">
        <f>'Kalkulace a Porovnání'!Z534</f>
        <v>0</v>
      </c>
      <c r="AA534" s="439">
        <f>'Kalkulace a Porovnání'!AA534</f>
        <v>0</v>
      </c>
      <c r="AB534" s="440">
        <f>'Kalkulace a Porovnání'!AB534</f>
        <v>0</v>
      </c>
      <c r="AC534" s="183"/>
      <c r="AD534" s="547"/>
      <c r="AG534" s="972"/>
      <c r="AH534" s="972"/>
      <c r="AI534" s="342"/>
      <c r="AJ534" s="342"/>
      <c r="AK534" s="547"/>
      <c r="AL534" s="183"/>
    </row>
    <row r="535" spans="2:38" x14ac:dyDescent="0.25">
      <c r="B535" s="12" t="s">
        <v>64</v>
      </c>
      <c r="C535" s="13" t="s">
        <v>65</v>
      </c>
      <c r="D535" s="3" t="s">
        <v>66</v>
      </c>
      <c r="E535" s="49">
        <f>'Kalkulace a Porovnání'!E535</f>
        <v>0</v>
      </c>
      <c r="F535" s="49">
        <f>'Kalkulace a Porovnání'!F535</f>
        <v>0</v>
      </c>
      <c r="G535" s="49">
        <f>'Kalkulace a Porovnání'!G535</f>
        <v>0</v>
      </c>
      <c r="H535" s="32">
        <f>'Kalkulace a Porovnání'!H535</f>
        <v>0</v>
      </c>
      <c r="K535" s="12" t="s">
        <v>64</v>
      </c>
      <c r="L535" s="13" t="s">
        <v>65</v>
      </c>
      <c r="M535" s="3" t="s">
        <v>66</v>
      </c>
      <c r="N535" s="49">
        <f>'Kalkulace a Porovnání'!N535</f>
        <v>0</v>
      </c>
      <c r="O535" s="49">
        <f>'Kalkulace a Porovnání'!O535</f>
        <v>0</v>
      </c>
      <c r="P535" s="49">
        <f>'Kalkulace a Porovnání'!P535</f>
        <v>0</v>
      </c>
      <c r="Q535" s="32">
        <f>'Kalkulace a Porovnání'!Q535</f>
        <v>0</v>
      </c>
      <c r="T535" s="12" t="s">
        <v>64</v>
      </c>
      <c r="U535" s="13" t="s">
        <v>65</v>
      </c>
      <c r="V535" s="3" t="s">
        <v>66</v>
      </c>
      <c r="W535" s="49">
        <f>'Kalkulace a Porovnání'!W535</f>
        <v>0</v>
      </c>
      <c r="X535" s="49">
        <f>'Kalkulace a Porovnání'!X535</f>
        <v>0</v>
      </c>
      <c r="Y535" s="49">
        <f>'Kalkulace a Porovnání'!Y535</f>
        <v>0</v>
      </c>
      <c r="Z535" s="49">
        <f>'Kalkulace a Porovnání'!Z535</f>
        <v>0</v>
      </c>
      <c r="AA535" s="49">
        <f>'Kalkulace a Porovnání'!AA535</f>
        <v>0</v>
      </c>
      <c r="AB535" s="32">
        <f>'Kalkulace a Porovnání'!AB535</f>
        <v>0</v>
      </c>
      <c r="AC535" s="183"/>
      <c r="AD535" s="547"/>
      <c r="AG535" s="972"/>
      <c r="AH535" s="972"/>
      <c r="AI535" s="342"/>
      <c r="AJ535" s="342"/>
      <c r="AK535" s="547"/>
      <c r="AL535" s="183"/>
    </row>
    <row r="536" spans="2:38" x14ac:dyDescent="0.25">
      <c r="B536" s="12" t="s">
        <v>67</v>
      </c>
      <c r="C536" s="13" t="s">
        <v>68</v>
      </c>
      <c r="D536" s="3" t="s">
        <v>66</v>
      </c>
      <c r="E536" s="49">
        <f>'Kalkulace a Porovnání'!E536</f>
        <v>0</v>
      </c>
      <c r="F536" s="49">
        <f>'Kalkulace a Porovnání'!F536</f>
        <v>0</v>
      </c>
      <c r="G536" s="49">
        <f>'Kalkulace a Porovnání'!G536</f>
        <v>0</v>
      </c>
      <c r="H536" s="32">
        <f>'Kalkulace a Porovnání'!H536</f>
        <v>0</v>
      </c>
      <c r="K536" s="12" t="s">
        <v>67</v>
      </c>
      <c r="L536" s="13" t="s">
        <v>68</v>
      </c>
      <c r="M536" s="3" t="s">
        <v>66</v>
      </c>
      <c r="N536" s="49">
        <f>'Kalkulace a Porovnání'!N536</f>
        <v>0</v>
      </c>
      <c r="O536" s="49">
        <f>'Kalkulace a Porovnání'!O536</f>
        <v>0</v>
      </c>
      <c r="P536" s="49">
        <f>'Kalkulace a Porovnání'!P536</f>
        <v>0</v>
      </c>
      <c r="Q536" s="32">
        <f>'Kalkulace a Porovnání'!Q536</f>
        <v>0</v>
      </c>
      <c r="T536" s="12" t="s">
        <v>67</v>
      </c>
      <c r="U536" s="13" t="s">
        <v>68</v>
      </c>
      <c r="V536" s="3" t="s">
        <v>66</v>
      </c>
      <c r="W536" s="49">
        <f>'Kalkulace a Porovnání'!W536</f>
        <v>0</v>
      </c>
      <c r="X536" s="49">
        <f>'Kalkulace a Porovnání'!X536</f>
        <v>0</v>
      </c>
      <c r="Y536" s="49">
        <f>'Kalkulace a Porovnání'!Y536</f>
        <v>0</v>
      </c>
      <c r="Z536" s="49">
        <f>'Kalkulace a Porovnání'!Z536</f>
        <v>0</v>
      </c>
      <c r="AA536" s="49">
        <f>'Kalkulace a Porovnání'!AA536</f>
        <v>0</v>
      </c>
      <c r="AB536" s="32">
        <f>'Kalkulace a Porovnání'!AB536</f>
        <v>0</v>
      </c>
      <c r="AC536" s="183"/>
      <c r="AD536" s="547"/>
      <c r="AG536" s="184"/>
      <c r="AH536" s="184"/>
      <c r="AI536" s="342"/>
      <c r="AJ536" s="342"/>
      <c r="AK536" s="547"/>
      <c r="AL536" s="183"/>
    </row>
    <row r="537" spans="2:38" x14ac:dyDescent="0.25">
      <c r="B537" s="12" t="s">
        <v>69</v>
      </c>
      <c r="C537" s="13" t="s">
        <v>70</v>
      </c>
      <c r="D537" s="3" t="s">
        <v>66</v>
      </c>
      <c r="E537" s="49">
        <f>'Kalkulace a Porovnání'!E537</f>
        <v>0</v>
      </c>
      <c r="F537" s="49">
        <f>'Kalkulace a Porovnání'!F537</f>
        <v>0</v>
      </c>
      <c r="G537" s="49">
        <f>'Kalkulace a Porovnání'!G537</f>
        <v>0</v>
      </c>
      <c r="H537" s="32">
        <f>'Kalkulace a Porovnání'!H537</f>
        <v>0</v>
      </c>
      <c r="K537" s="12" t="s">
        <v>69</v>
      </c>
      <c r="L537" s="13" t="s">
        <v>70</v>
      </c>
      <c r="M537" s="3" t="s">
        <v>66</v>
      </c>
      <c r="N537" s="49">
        <f>'Kalkulace a Porovnání'!N537</f>
        <v>0</v>
      </c>
      <c r="O537" s="49">
        <f>'Kalkulace a Porovnání'!O537</f>
        <v>0</v>
      </c>
      <c r="P537" s="49">
        <f>'Kalkulace a Porovnání'!P537</f>
        <v>0</v>
      </c>
      <c r="Q537" s="32">
        <f>'Kalkulace a Porovnání'!Q537</f>
        <v>0</v>
      </c>
      <c r="T537" s="12" t="s">
        <v>69</v>
      </c>
      <c r="U537" s="13" t="s">
        <v>70</v>
      </c>
      <c r="V537" s="3" t="s">
        <v>66</v>
      </c>
      <c r="W537" s="49">
        <f>'Kalkulace a Porovnání'!W537</f>
        <v>0</v>
      </c>
      <c r="X537" s="49">
        <f>'Kalkulace a Porovnání'!X537</f>
        <v>0</v>
      </c>
      <c r="Y537" s="49">
        <f>'Kalkulace a Porovnání'!Y537</f>
        <v>0</v>
      </c>
      <c r="Z537" s="49">
        <f>'Kalkulace a Porovnání'!Z537</f>
        <v>0</v>
      </c>
      <c r="AA537" s="49">
        <f>'Kalkulace a Porovnání'!AA537</f>
        <v>0</v>
      </c>
      <c r="AB537" s="32">
        <f>'Kalkulace a Porovnání'!AB537</f>
        <v>0</v>
      </c>
      <c r="AC537" s="183"/>
      <c r="AD537" s="547"/>
      <c r="AG537" s="549"/>
      <c r="AH537" s="549"/>
      <c r="AI537" s="342"/>
      <c r="AJ537" s="342"/>
      <c r="AK537" s="547"/>
      <c r="AL537" s="183"/>
    </row>
    <row r="538" spans="2:38" x14ac:dyDescent="0.25">
      <c r="B538" s="12" t="s">
        <v>71</v>
      </c>
      <c r="C538" s="13" t="s">
        <v>68</v>
      </c>
      <c r="D538" s="3" t="s">
        <v>66</v>
      </c>
      <c r="E538" s="49">
        <f>'Kalkulace a Porovnání'!E538</f>
        <v>0</v>
      </c>
      <c r="F538" s="49">
        <f>'Kalkulace a Porovnání'!F538</f>
        <v>0</v>
      </c>
      <c r="G538" s="49">
        <f>'Kalkulace a Porovnání'!G538</f>
        <v>0</v>
      </c>
      <c r="H538" s="32">
        <f>'Kalkulace a Porovnání'!H538</f>
        <v>0</v>
      </c>
      <c r="K538" s="12" t="s">
        <v>71</v>
      </c>
      <c r="L538" s="13" t="s">
        <v>68</v>
      </c>
      <c r="M538" s="3" t="s">
        <v>66</v>
      </c>
      <c r="N538" s="49">
        <f>'Kalkulace a Porovnání'!N538</f>
        <v>0</v>
      </c>
      <c r="O538" s="49">
        <f>'Kalkulace a Porovnání'!O538</f>
        <v>0</v>
      </c>
      <c r="P538" s="49">
        <f>'Kalkulace a Porovnání'!P538</f>
        <v>0</v>
      </c>
      <c r="Q538" s="32">
        <f>'Kalkulace a Porovnání'!Q538</f>
        <v>0</v>
      </c>
      <c r="T538" s="12" t="s">
        <v>71</v>
      </c>
      <c r="U538" s="13" t="s">
        <v>68</v>
      </c>
      <c r="V538" s="3" t="s">
        <v>66</v>
      </c>
      <c r="W538" s="49">
        <f>'Kalkulace a Porovnání'!W538</f>
        <v>0</v>
      </c>
      <c r="X538" s="49">
        <f>'Kalkulace a Porovnání'!X538</f>
        <v>0</v>
      </c>
      <c r="Y538" s="49">
        <f>'Kalkulace a Porovnání'!Y538</f>
        <v>0</v>
      </c>
      <c r="Z538" s="49">
        <f>'Kalkulace a Porovnání'!Z538</f>
        <v>0</v>
      </c>
      <c r="AA538" s="49">
        <f>'Kalkulace a Porovnání'!AA538</f>
        <v>0</v>
      </c>
      <c r="AB538" s="32">
        <f>'Kalkulace a Porovnání'!AB538</f>
        <v>0</v>
      </c>
      <c r="AC538" s="183"/>
      <c r="AD538" s="547"/>
      <c r="AG538" s="546"/>
      <c r="AH538" s="546"/>
      <c r="AI538" s="342"/>
      <c r="AJ538" s="342"/>
      <c r="AK538" s="547"/>
      <c r="AL538" s="183"/>
    </row>
    <row r="539" spans="2:38" x14ac:dyDescent="0.25">
      <c r="B539" s="12" t="s">
        <v>72</v>
      </c>
      <c r="C539" s="13" t="s">
        <v>73</v>
      </c>
      <c r="D539" s="3" t="s">
        <v>66</v>
      </c>
      <c r="E539" s="49">
        <f>'Kalkulace a Porovnání'!E539</f>
        <v>0</v>
      </c>
      <c r="F539" s="49">
        <f>'Kalkulace a Porovnání'!F539</f>
        <v>0</v>
      </c>
      <c r="G539" s="49">
        <f>'Kalkulace a Porovnání'!G539</f>
        <v>0</v>
      </c>
      <c r="H539" s="32">
        <f>'Kalkulace a Porovnání'!H539</f>
        <v>0</v>
      </c>
      <c r="K539" s="12" t="s">
        <v>72</v>
      </c>
      <c r="L539" s="13" t="s">
        <v>73</v>
      </c>
      <c r="M539" s="3" t="s">
        <v>66</v>
      </c>
      <c r="N539" s="49">
        <f>'Kalkulace a Porovnání'!N539</f>
        <v>0</v>
      </c>
      <c r="O539" s="49">
        <f>'Kalkulace a Porovnání'!O539</f>
        <v>0</v>
      </c>
      <c r="P539" s="49">
        <f>'Kalkulace a Porovnání'!P539</f>
        <v>0</v>
      </c>
      <c r="Q539" s="32">
        <f>'Kalkulace a Porovnání'!Q539</f>
        <v>0</v>
      </c>
      <c r="T539" s="12" t="s">
        <v>72</v>
      </c>
      <c r="U539" s="13" t="s">
        <v>73</v>
      </c>
      <c r="V539" s="3" t="s">
        <v>66</v>
      </c>
      <c r="W539" s="49">
        <f>'Kalkulace a Porovnání'!W539</f>
        <v>0</v>
      </c>
      <c r="X539" s="49">
        <f>'Kalkulace a Porovnání'!X539</f>
        <v>0</v>
      </c>
      <c r="Y539" s="49">
        <f>'Kalkulace a Porovnání'!Y539</f>
        <v>0</v>
      </c>
      <c r="Z539" s="49">
        <f>'Kalkulace a Porovnání'!Z539</f>
        <v>0</v>
      </c>
      <c r="AA539" s="49">
        <f>'Kalkulace a Porovnání'!AA539</f>
        <v>0</v>
      </c>
      <c r="AB539" s="32">
        <f>'Kalkulace a Porovnání'!AB539</f>
        <v>0</v>
      </c>
      <c r="AC539" s="183"/>
      <c r="AD539" s="547"/>
      <c r="AG539" s="184"/>
      <c r="AH539" s="184"/>
      <c r="AI539" s="549"/>
      <c r="AJ539" s="549"/>
      <c r="AK539" s="547"/>
      <c r="AL539" s="183"/>
    </row>
    <row r="540" spans="2:38" x14ac:dyDescent="0.25">
      <c r="B540" s="12" t="s">
        <v>74</v>
      </c>
      <c r="C540" s="13" t="s">
        <v>75</v>
      </c>
      <c r="D540" s="3" t="s">
        <v>66</v>
      </c>
      <c r="E540" s="49">
        <f>'Kalkulace a Porovnání'!E540</f>
        <v>0</v>
      </c>
      <c r="F540" s="49">
        <f>'Kalkulace a Porovnání'!F540</f>
        <v>0</v>
      </c>
      <c r="G540" s="49">
        <f>'Kalkulace a Porovnání'!G540</f>
        <v>0</v>
      </c>
      <c r="H540" s="32">
        <f>'Kalkulace a Porovnání'!H540</f>
        <v>0</v>
      </c>
      <c r="K540" s="12" t="s">
        <v>74</v>
      </c>
      <c r="L540" s="13" t="s">
        <v>75</v>
      </c>
      <c r="M540" s="3" t="s">
        <v>66</v>
      </c>
      <c r="N540" s="49">
        <f>'Kalkulace a Porovnání'!N540</f>
        <v>0</v>
      </c>
      <c r="O540" s="49">
        <f>'Kalkulace a Porovnání'!O540</f>
        <v>0</v>
      </c>
      <c r="P540" s="49">
        <f>'Kalkulace a Porovnání'!P540</f>
        <v>0</v>
      </c>
      <c r="Q540" s="32">
        <f>'Kalkulace a Porovnání'!Q540</f>
        <v>0</v>
      </c>
      <c r="T540" s="12" t="s">
        <v>74</v>
      </c>
      <c r="U540" s="13" t="s">
        <v>75</v>
      </c>
      <c r="V540" s="3" t="s">
        <v>66</v>
      </c>
      <c r="W540" s="49">
        <f>'Kalkulace a Porovnání'!W540</f>
        <v>0</v>
      </c>
      <c r="X540" s="49">
        <f>'Kalkulace a Porovnání'!X540</f>
        <v>0</v>
      </c>
      <c r="Y540" s="49">
        <f>'Kalkulace a Porovnání'!Y540</f>
        <v>0</v>
      </c>
      <c r="Z540" s="49">
        <f>'Kalkulace a Porovnání'!Z540</f>
        <v>0</v>
      </c>
      <c r="AA540" s="49">
        <f>'Kalkulace a Porovnání'!AA540</f>
        <v>0</v>
      </c>
      <c r="AB540" s="32">
        <f>'Kalkulace a Porovnání'!AB540</f>
        <v>0</v>
      </c>
      <c r="AC540" s="183"/>
      <c r="AD540" s="547"/>
      <c r="AG540" s="184"/>
      <c r="AH540" s="184"/>
      <c r="AI540" s="549"/>
      <c r="AJ540" s="549"/>
      <c r="AK540" s="547"/>
      <c r="AL540" s="183"/>
    </row>
    <row r="541" spans="2:38" x14ac:dyDescent="0.25">
      <c r="B541" s="12" t="s">
        <v>76</v>
      </c>
      <c r="C541" s="13" t="s">
        <v>77</v>
      </c>
      <c r="D541" s="3" t="s">
        <v>66</v>
      </c>
      <c r="E541" s="49">
        <f>'Kalkulace a Porovnání'!E541</f>
        <v>0</v>
      </c>
      <c r="F541" s="49">
        <f>'Kalkulace a Porovnání'!F541</f>
        <v>0</v>
      </c>
      <c r="G541" s="49">
        <f>'Kalkulace a Porovnání'!G541</f>
        <v>0</v>
      </c>
      <c r="H541" s="32">
        <f>'Kalkulace a Porovnání'!H541</f>
        <v>0</v>
      </c>
      <c r="K541" s="12" t="s">
        <v>76</v>
      </c>
      <c r="L541" s="13" t="s">
        <v>77</v>
      </c>
      <c r="M541" s="3" t="s">
        <v>66</v>
      </c>
      <c r="N541" s="49">
        <f>'Kalkulace a Porovnání'!N541</f>
        <v>0</v>
      </c>
      <c r="O541" s="49">
        <f>'Kalkulace a Porovnání'!O541</f>
        <v>0</v>
      </c>
      <c r="P541" s="49">
        <f>'Kalkulace a Porovnání'!P541</f>
        <v>0</v>
      </c>
      <c r="Q541" s="32">
        <f>'Kalkulace a Porovnání'!Q541</f>
        <v>0</v>
      </c>
      <c r="T541" s="12" t="s">
        <v>76</v>
      </c>
      <c r="U541" s="13" t="s">
        <v>77</v>
      </c>
      <c r="V541" s="3" t="s">
        <v>66</v>
      </c>
      <c r="W541" s="49">
        <f>'Kalkulace a Porovnání'!W541</f>
        <v>0</v>
      </c>
      <c r="X541" s="49">
        <f>'Kalkulace a Porovnání'!X541</f>
        <v>0</v>
      </c>
      <c r="Y541" s="49">
        <f>'Kalkulace a Porovnání'!Y541</f>
        <v>0</v>
      </c>
      <c r="Z541" s="49">
        <f>'Kalkulace a Porovnání'!Z541</f>
        <v>0</v>
      </c>
      <c r="AA541" s="49">
        <f>'Kalkulace a Porovnání'!AA541</f>
        <v>0</v>
      </c>
      <c r="AB541" s="32">
        <f>'Kalkulace a Porovnání'!AB541</f>
        <v>0</v>
      </c>
      <c r="AC541" s="183"/>
      <c r="AD541" s="547"/>
      <c r="AG541" s="184"/>
      <c r="AH541" s="184"/>
      <c r="AI541" s="549"/>
      <c r="AJ541" s="549"/>
      <c r="AK541" s="547"/>
      <c r="AL541" s="183"/>
    </row>
    <row r="542" spans="2:38" x14ac:dyDescent="0.25">
      <c r="B542" s="12" t="s">
        <v>78</v>
      </c>
      <c r="C542" s="13" t="s">
        <v>79</v>
      </c>
      <c r="D542" s="3" t="s">
        <v>66</v>
      </c>
      <c r="E542" s="49">
        <f>'Kalkulace a Porovnání'!E542</f>
        <v>0</v>
      </c>
      <c r="F542" s="49">
        <f>'Kalkulace a Porovnání'!F542</f>
        <v>0</v>
      </c>
      <c r="G542" s="49">
        <f>'Kalkulace a Porovnání'!G542</f>
        <v>0</v>
      </c>
      <c r="H542" s="32">
        <f>'Kalkulace a Porovnání'!H542</f>
        <v>0</v>
      </c>
      <c r="K542" s="12" t="s">
        <v>78</v>
      </c>
      <c r="L542" s="13" t="s">
        <v>79</v>
      </c>
      <c r="M542" s="3" t="s">
        <v>66</v>
      </c>
      <c r="N542" s="49">
        <f>'Kalkulace a Porovnání'!N542</f>
        <v>0</v>
      </c>
      <c r="O542" s="49">
        <f>'Kalkulace a Porovnání'!O542</f>
        <v>0</v>
      </c>
      <c r="P542" s="49">
        <f>'Kalkulace a Porovnání'!P542</f>
        <v>0</v>
      </c>
      <c r="Q542" s="32">
        <f>'Kalkulace a Porovnání'!Q542</f>
        <v>0</v>
      </c>
      <c r="T542" s="12" t="s">
        <v>78</v>
      </c>
      <c r="U542" s="13" t="s">
        <v>79</v>
      </c>
      <c r="V542" s="3" t="s">
        <v>66</v>
      </c>
      <c r="W542" s="49">
        <f>'Kalkulace a Porovnání'!W542</f>
        <v>0</v>
      </c>
      <c r="X542" s="49">
        <f>'Kalkulace a Porovnání'!X542</f>
        <v>0</v>
      </c>
      <c r="Y542" s="49">
        <f>'Kalkulace a Porovnání'!Y542</f>
        <v>0</v>
      </c>
      <c r="Z542" s="49">
        <f>'Kalkulace a Porovnání'!Z542</f>
        <v>0</v>
      </c>
      <c r="AA542" s="49">
        <f>'Kalkulace a Porovnání'!AA542</f>
        <v>0</v>
      </c>
      <c r="AB542" s="32">
        <f>'Kalkulace a Porovnání'!AB542</f>
        <v>0</v>
      </c>
      <c r="AC542" s="183"/>
      <c r="AD542" s="547"/>
      <c r="AG542" s="421"/>
      <c r="AH542" s="421"/>
      <c r="AI542" s="342"/>
      <c r="AJ542" s="342"/>
      <c r="AK542" s="547"/>
      <c r="AL542" s="183"/>
    </row>
    <row r="543" spans="2:38" x14ac:dyDescent="0.25">
      <c r="B543" s="1"/>
      <c r="C543" s="1"/>
      <c r="D543" s="1"/>
      <c r="E543" s="1"/>
      <c r="F543" s="1"/>
      <c r="G543" s="1"/>
      <c r="H543" s="1"/>
      <c r="K543" s="1"/>
      <c r="L543" s="1"/>
      <c r="M543" s="1"/>
      <c r="N543" s="1"/>
      <c r="O543" s="1"/>
      <c r="P543" s="1"/>
      <c r="Q543" s="1"/>
      <c r="T543" s="1"/>
      <c r="U543" s="1"/>
      <c r="V543" s="1"/>
      <c r="W543" s="1"/>
      <c r="X543" s="1"/>
      <c r="Y543" s="1"/>
      <c r="Z543" s="1"/>
      <c r="AA543" s="1"/>
      <c r="AB543" s="1"/>
      <c r="AC543" s="183"/>
      <c r="AD543" s="547"/>
      <c r="AG543" s="547"/>
      <c r="AH543" s="547"/>
      <c r="AI543" s="547"/>
      <c r="AJ543" s="547"/>
      <c r="AK543" s="547"/>
      <c r="AL543" s="183"/>
    </row>
    <row r="544" spans="2:38" x14ac:dyDescent="0.25">
      <c r="B544" s="932" t="s">
        <v>5</v>
      </c>
      <c r="C544" s="721" t="s">
        <v>80</v>
      </c>
      <c r="D544" s="722"/>
      <c r="E544" s="723"/>
      <c r="F544" s="724"/>
      <c r="G544" s="722"/>
      <c r="H544" s="725"/>
      <c r="K544" s="932" t="s">
        <v>5</v>
      </c>
      <c r="L544" s="721" t="s">
        <v>80</v>
      </c>
      <c r="M544" s="722"/>
      <c r="N544" s="723"/>
      <c r="O544" s="724"/>
      <c r="P544" s="722"/>
      <c r="Q544" s="725"/>
      <c r="T544" s="771" t="s">
        <v>5</v>
      </c>
      <c r="U544" s="721" t="s">
        <v>80</v>
      </c>
      <c r="V544" s="722"/>
      <c r="W544" s="723"/>
      <c r="X544" s="723"/>
      <c r="Y544" s="724"/>
      <c r="Z544" s="722"/>
      <c r="AA544" s="722"/>
      <c r="AB544" s="725"/>
      <c r="AC544" s="183"/>
      <c r="AD544" s="547"/>
      <c r="AG544" s="547"/>
      <c r="AH544" s="547"/>
      <c r="AI544" s="547"/>
      <c r="AJ544" s="547"/>
      <c r="AK544" s="547"/>
      <c r="AL544" s="183"/>
    </row>
    <row r="545" spans="2:38" x14ac:dyDescent="0.25">
      <c r="B545" s="930"/>
      <c r="C545" s="932" t="s">
        <v>81</v>
      </c>
      <c r="D545" s="929" t="s">
        <v>173</v>
      </c>
      <c r="E545" s="874" t="s">
        <v>118</v>
      </c>
      <c r="F545" s="937"/>
      <c r="G545" s="26" t="s">
        <v>3</v>
      </c>
      <c r="H545" s="23" t="s">
        <v>4</v>
      </c>
      <c r="K545" s="930"/>
      <c r="L545" s="5" t="s">
        <v>81</v>
      </c>
      <c r="M545" s="929" t="s">
        <v>173</v>
      </c>
      <c r="N545" s="874" t="s">
        <v>118</v>
      </c>
      <c r="O545" s="937"/>
      <c r="P545" s="26" t="s">
        <v>3</v>
      </c>
      <c r="Q545" s="23" t="s">
        <v>4</v>
      </c>
      <c r="T545" s="934"/>
      <c r="U545" s="932" t="s">
        <v>81</v>
      </c>
      <c r="V545" s="929" t="s">
        <v>173</v>
      </c>
      <c r="W545" s="874" t="s">
        <v>118</v>
      </c>
      <c r="X545" s="937"/>
      <c r="Y545" s="874" t="s">
        <v>3</v>
      </c>
      <c r="Z545" s="939"/>
      <c r="AA545" s="940" t="s">
        <v>4</v>
      </c>
      <c r="AB545" s="940"/>
      <c r="AC545" s="183"/>
      <c r="AD545" s="547"/>
      <c r="AG545" s="547"/>
      <c r="AH545" s="547"/>
      <c r="AI545" s="547"/>
      <c r="AJ545" s="547"/>
      <c r="AK545" s="547"/>
      <c r="AL545" s="183"/>
    </row>
    <row r="546" spans="2:38" x14ac:dyDescent="0.25">
      <c r="B546" s="931"/>
      <c r="C546" s="931"/>
      <c r="D546" s="936"/>
      <c r="E546" s="875"/>
      <c r="F546" s="938"/>
      <c r="G546" s="27" t="s">
        <v>7</v>
      </c>
      <c r="H546" s="24" t="s">
        <v>7</v>
      </c>
      <c r="K546" s="931"/>
      <c r="L546" s="8"/>
      <c r="M546" s="936"/>
      <c r="N546" s="875"/>
      <c r="O546" s="938"/>
      <c r="P546" s="27" t="s">
        <v>7</v>
      </c>
      <c r="Q546" s="24" t="s">
        <v>7</v>
      </c>
      <c r="T546" s="935"/>
      <c r="U546" s="931"/>
      <c r="V546" s="936"/>
      <c r="W546" s="875"/>
      <c r="X546" s="938"/>
      <c r="Y546" s="40" t="s">
        <v>196</v>
      </c>
      <c r="Z546" s="40" t="s">
        <v>7</v>
      </c>
      <c r="AA546" s="40" t="s">
        <v>196</v>
      </c>
      <c r="AB546" s="40" t="s">
        <v>7</v>
      </c>
      <c r="AC546" s="183"/>
      <c r="AD546" s="547"/>
      <c r="AG546" s="547"/>
      <c r="AH546" s="547"/>
      <c r="AI546" s="547"/>
      <c r="AJ546" s="547"/>
      <c r="AK546" s="547"/>
      <c r="AL546" s="183"/>
    </row>
    <row r="547" spans="2:38" x14ac:dyDescent="0.25">
      <c r="B547" s="11">
        <v>1</v>
      </c>
      <c r="C547" s="11">
        <v>2</v>
      </c>
      <c r="D547" s="11" t="s">
        <v>111</v>
      </c>
      <c r="E547" s="735" t="s">
        <v>115</v>
      </c>
      <c r="F547" s="736"/>
      <c r="G547" s="11" t="s">
        <v>116</v>
      </c>
      <c r="H547" s="22" t="s">
        <v>117</v>
      </c>
      <c r="K547" s="11">
        <v>1</v>
      </c>
      <c r="L547" s="11">
        <v>2</v>
      </c>
      <c r="M547" s="11" t="s">
        <v>111</v>
      </c>
      <c r="N547" s="735" t="s">
        <v>115</v>
      </c>
      <c r="O547" s="736"/>
      <c r="P547" s="11" t="s">
        <v>116</v>
      </c>
      <c r="Q547" s="22" t="s">
        <v>117</v>
      </c>
      <c r="T547" s="11">
        <v>1</v>
      </c>
      <c r="U547" s="11">
        <v>2</v>
      </c>
      <c r="V547" s="11" t="s">
        <v>111</v>
      </c>
      <c r="W547" s="944" t="s">
        <v>115</v>
      </c>
      <c r="X547" s="945"/>
      <c r="Y547" s="11" t="s">
        <v>201</v>
      </c>
      <c r="Z547" s="11" t="s">
        <v>116</v>
      </c>
      <c r="AA547" s="11" t="s">
        <v>200</v>
      </c>
      <c r="AB547" s="22" t="s">
        <v>117</v>
      </c>
      <c r="AC547" s="183"/>
      <c r="AD547" s="547"/>
      <c r="AG547" s="547"/>
      <c r="AH547" s="547"/>
      <c r="AI547" s="547"/>
      <c r="AJ547" s="547"/>
      <c r="AK547" s="547"/>
      <c r="AL547" s="183"/>
    </row>
    <row r="548" spans="2:38" x14ac:dyDescent="0.25">
      <c r="B548" s="12" t="s">
        <v>82</v>
      </c>
      <c r="C548" s="13" t="s">
        <v>127</v>
      </c>
      <c r="D548" s="13" t="s">
        <v>83</v>
      </c>
      <c r="E548" s="732" t="s">
        <v>120</v>
      </c>
      <c r="F548" s="733"/>
      <c r="G548" s="172">
        <f>'Kalkulace a Porovnání'!G548</f>
        <v>0</v>
      </c>
      <c r="H548" s="172">
        <f>'Kalkulace a Porovnání'!H548</f>
        <v>0</v>
      </c>
      <c r="K548" s="12" t="s">
        <v>82</v>
      </c>
      <c r="L548" s="13" t="s">
        <v>127</v>
      </c>
      <c r="M548" s="13" t="s">
        <v>83</v>
      </c>
      <c r="N548" s="732" t="s">
        <v>120</v>
      </c>
      <c r="O548" s="733"/>
      <c r="P548" s="172">
        <f>'Kalkulace a Porovnání'!P548</f>
        <v>0</v>
      </c>
      <c r="Q548" s="172">
        <f>'Kalkulace a Porovnání'!Q548</f>
        <v>0</v>
      </c>
      <c r="T548" s="12" t="s">
        <v>82</v>
      </c>
      <c r="U548" s="13" t="s">
        <v>127</v>
      </c>
      <c r="V548" s="13" t="s">
        <v>83</v>
      </c>
      <c r="W548" s="13" t="s">
        <v>120</v>
      </c>
      <c r="X548" s="101"/>
      <c r="Y548" s="172">
        <f>'Kalkulace a Porovnání'!Y548</f>
        <v>0</v>
      </c>
      <c r="Z548" s="172">
        <f>'Kalkulace a Porovnání'!Z548</f>
        <v>0</v>
      </c>
      <c r="AA548" s="172">
        <f>'Kalkulace a Porovnání'!AA548</f>
        <v>0</v>
      </c>
      <c r="AB548" s="172">
        <f>'Kalkulace a Porovnání'!AB548</f>
        <v>0</v>
      </c>
      <c r="AC548" s="183"/>
      <c r="AD548" s="547"/>
      <c r="AG548" s="547"/>
      <c r="AH548" s="547"/>
      <c r="AI548" s="547"/>
      <c r="AJ548" s="547"/>
      <c r="AK548" s="547"/>
      <c r="AL548" s="183"/>
    </row>
    <row r="549" spans="2:38" x14ac:dyDescent="0.25">
      <c r="B549" s="12" t="s">
        <v>84</v>
      </c>
      <c r="C549" s="13" t="s">
        <v>85</v>
      </c>
      <c r="D549" s="13" t="s">
        <v>10</v>
      </c>
      <c r="E549" s="732" t="s">
        <v>121</v>
      </c>
      <c r="F549" s="733"/>
      <c r="G549" s="449">
        <f>'Kalkulace a Porovnání'!G549</f>
        <v>0</v>
      </c>
      <c r="H549" s="449">
        <f>'Kalkulace a Porovnání'!H549</f>
        <v>0</v>
      </c>
      <c r="K549" s="12" t="s">
        <v>84</v>
      </c>
      <c r="L549" s="13" t="s">
        <v>85</v>
      </c>
      <c r="M549" s="13" t="s">
        <v>10</v>
      </c>
      <c r="N549" s="732" t="s">
        <v>121</v>
      </c>
      <c r="O549" s="733"/>
      <c r="P549" s="449">
        <f>'Kalkulace a Porovnání'!P549</f>
        <v>0</v>
      </c>
      <c r="Q549" s="449">
        <f>'Kalkulace a Porovnání'!Q549</f>
        <v>0</v>
      </c>
      <c r="T549" s="12" t="s">
        <v>84</v>
      </c>
      <c r="U549" s="13" t="s">
        <v>85</v>
      </c>
      <c r="V549" s="13" t="s">
        <v>10</v>
      </c>
      <c r="W549" s="13" t="s">
        <v>121</v>
      </c>
      <c r="X549" s="101"/>
      <c r="Y549" s="449">
        <f>'Kalkulace a Porovnání'!Y549</f>
        <v>0</v>
      </c>
      <c r="Z549" s="449">
        <f>'Kalkulace a Porovnání'!Z549</f>
        <v>0</v>
      </c>
      <c r="AA549" s="449">
        <f>'Kalkulace a Porovnání'!AA549</f>
        <v>0</v>
      </c>
      <c r="AB549" s="449">
        <f>'Kalkulace a Porovnání'!AB549</f>
        <v>0</v>
      </c>
      <c r="AC549" s="183"/>
      <c r="AD549" s="547"/>
      <c r="AG549" s="547"/>
      <c r="AH549" s="547"/>
      <c r="AI549" s="547"/>
      <c r="AJ549" s="547"/>
      <c r="AK549" s="547"/>
      <c r="AL549" s="183"/>
    </row>
    <row r="550" spans="2:38" x14ac:dyDescent="0.25">
      <c r="B550" s="12" t="s">
        <v>86</v>
      </c>
      <c r="C550" s="13" t="s">
        <v>87</v>
      </c>
      <c r="D550" s="13" t="s">
        <v>10</v>
      </c>
      <c r="E550" s="732"/>
      <c r="F550" s="733"/>
      <c r="G550" s="449">
        <f>'Kalkulace a Porovnání'!G550</f>
        <v>0</v>
      </c>
      <c r="H550" s="449">
        <f>'Kalkulace a Porovnání'!H550</f>
        <v>0</v>
      </c>
      <c r="K550" s="12" t="s">
        <v>86</v>
      </c>
      <c r="L550" s="13" t="s">
        <v>87</v>
      </c>
      <c r="M550" s="13" t="s">
        <v>10</v>
      </c>
      <c r="N550" s="732"/>
      <c r="O550" s="733"/>
      <c r="P550" s="449">
        <f>'Kalkulace a Porovnání'!P550</f>
        <v>0</v>
      </c>
      <c r="Q550" s="449">
        <f>'Kalkulace a Porovnání'!Q550</f>
        <v>0</v>
      </c>
      <c r="T550" s="12" t="s">
        <v>86</v>
      </c>
      <c r="U550" s="13" t="s">
        <v>87</v>
      </c>
      <c r="V550" s="13" t="s">
        <v>10</v>
      </c>
      <c r="W550" s="13"/>
      <c r="X550" s="101"/>
      <c r="Y550" s="449">
        <f>'Kalkulace a Porovnání'!Y550</f>
        <v>0</v>
      </c>
      <c r="Z550" s="449">
        <f>'Kalkulace a Porovnání'!Z550</f>
        <v>0</v>
      </c>
      <c r="AA550" s="449">
        <f>'Kalkulace a Porovnání'!AA550</f>
        <v>0</v>
      </c>
      <c r="AB550" s="449">
        <f>'Kalkulace a Porovnání'!AB550</f>
        <v>0</v>
      </c>
      <c r="AC550" s="183"/>
      <c r="AD550" s="547"/>
      <c r="AG550" s="547"/>
      <c r="AH550" s="547"/>
      <c r="AI550" s="547"/>
      <c r="AJ550" s="547"/>
      <c r="AK550" s="547"/>
      <c r="AL550" s="183"/>
    </row>
    <row r="551" spans="2:38" x14ac:dyDescent="0.25">
      <c r="B551" s="12" t="s">
        <v>88</v>
      </c>
      <c r="C551" s="21" t="s">
        <v>89</v>
      </c>
      <c r="D551" s="13" t="s">
        <v>90</v>
      </c>
      <c r="E551" s="732" t="s">
        <v>123</v>
      </c>
      <c r="F551" s="733"/>
      <c r="G551" s="172">
        <f>'Kalkulace a Porovnání'!G551</f>
        <v>0</v>
      </c>
      <c r="H551" s="172">
        <f>'Kalkulace a Porovnání'!H551</f>
        <v>0</v>
      </c>
      <c r="K551" s="12" t="s">
        <v>88</v>
      </c>
      <c r="L551" s="21" t="s">
        <v>89</v>
      </c>
      <c r="M551" s="13" t="s">
        <v>90</v>
      </c>
      <c r="N551" s="732" t="s">
        <v>123</v>
      </c>
      <c r="O551" s="733"/>
      <c r="P551" s="172">
        <f>'Kalkulace a Porovnání'!P551</f>
        <v>0</v>
      </c>
      <c r="Q551" s="172">
        <f>'Kalkulace a Porovnání'!Q551</f>
        <v>0</v>
      </c>
      <c r="T551" s="12" t="s">
        <v>88</v>
      </c>
      <c r="U551" s="21" t="s">
        <v>89</v>
      </c>
      <c r="V551" s="13" t="s">
        <v>90</v>
      </c>
      <c r="W551" s="13" t="s">
        <v>123</v>
      </c>
      <c r="X551" s="101"/>
      <c r="Y551" s="172">
        <f>'Kalkulace a Porovnání'!Y551</f>
        <v>0</v>
      </c>
      <c r="Z551" s="172">
        <f>'Kalkulace a Porovnání'!Z551</f>
        <v>0</v>
      </c>
      <c r="AA551" s="172">
        <f>'Kalkulace a Porovnání'!AA551</f>
        <v>0</v>
      </c>
      <c r="AB551" s="172">
        <f>'Kalkulace a Porovnání'!AB551</f>
        <v>0</v>
      </c>
      <c r="AC551" s="183"/>
      <c r="AD551" s="547"/>
      <c r="AG551" s="547"/>
      <c r="AH551" s="547"/>
      <c r="AI551" s="547"/>
      <c r="AJ551" s="547"/>
      <c r="AK551" s="547"/>
      <c r="AL551" s="183"/>
    </row>
    <row r="552" spans="2:38" x14ac:dyDescent="0.25">
      <c r="B552" s="12" t="s">
        <v>91</v>
      </c>
      <c r="C552" s="21" t="s">
        <v>92</v>
      </c>
      <c r="D552" s="13" t="s">
        <v>10</v>
      </c>
      <c r="E552" s="732"/>
      <c r="F552" s="733"/>
      <c r="G552" s="449">
        <f>'Kalkulace a Porovnání'!G552</f>
        <v>0</v>
      </c>
      <c r="H552" s="449">
        <f>'Kalkulace a Porovnání'!H552</f>
        <v>0</v>
      </c>
      <c r="K552" s="12" t="s">
        <v>91</v>
      </c>
      <c r="L552" s="21" t="s">
        <v>92</v>
      </c>
      <c r="M552" s="13" t="s">
        <v>10</v>
      </c>
      <c r="N552" s="732"/>
      <c r="O552" s="733"/>
      <c r="P552" s="449">
        <f>'Kalkulace a Porovnání'!P552</f>
        <v>0</v>
      </c>
      <c r="Q552" s="449">
        <f>'Kalkulace a Porovnání'!Q552</f>
        <v>0</v>
      </c>
      <c r="T552" s="12" t="s">
        <v>91</v>
      </c>
      <c r="U552" s="21" t="s">
        <v>92</v>
      </c>
      <c r="V552" s="13" t="s">
        <v>10</v>
      </c>
      <c r="W552" s="13"/>
      <c r="X552" s="101"/>
      <c r="Y552" s="449">
        <f>'Kalkulace a Porovnání'!Y552</f>
        <v>0</v>
      </c>
      <c r="Z552" s="449">
        <f>'Kalkulace a Porovnání'!Z552</f>
        <v>0</v>
      </c>
      <c r="AA552" s="449">
        <f>'Kalkulace a Porovnání'!AA552</f>
        <v>0</v>
      </c>
      <c r="AB552" s="449">
        <f>'Kalkulace a Porovnání'!AB552</f>
        <v>0</v>
      </c>
      <c r="AC552" s="183"/>
      <c r="AD552" s="547"/>
      <c r="AG552" s="547"/>
      <c r="AH552" s="547"/>
      <c r="AI552" s="547"/>
      <c r="AJ552" s="547"/>
      <c r="AK552" s="547"/>
      <c r="AL552" s="183"/>
    </row>
    <row r="553" spans="2:38" x14ac:dyDescent="0.25">
      <c r="B553" s="12" t="s">
        <v>93</v>
      </c>
      <c r="C553" s="13" t="s">
        <v>94</v>
      </c>
      <c r="D553" s="13" t="s">
        <v>10</v>
      </c>
      <c r="E553" s="732" t="s">
        <v>122</v>
      </c>
      <c r="F553" s="733"/>
      <c r="G553" s="449">
        <f>'Kalkulace a Porovnání'!G553</f>
        <v>0</v>
      </c>
      <c r="H553" s="449">
        <f>'Kalkulace a Porovnání'!H553</f>
        <v>0</v>
      </c>
      <c r="K553" s="12" t="s">
        <v>93</v>
      </c>
      <c r="L553" s="13" t="s">
        <v>94</v>
      </c>
      <c r="M553" s="13" t="s">
        <v>10</v>
      </c>
      <c r="N553" s="732" t="s">
        <v>122</v>
      </c>
      <c r="O553" s="733"/>
      <c r="P553" s="449">
        <f>'Kalkulace a Porovnání'!P553</f>
        <v>0</v>
      </c>
      <c r="Q553" s="449">
        <f>'Kalkulace a Porovnání'!Q553</f>
        <v>0</v>
      </c>
      <c r="T553" s="12" t="s">
        <v>93</v>
      </c>
      <c r="U553" s="13" t="s">
        <v>94</v>
      </c>
      <c r="V553" s="13" t="s">
        <v>10</v>
      </c>
      <c r="W553" s="13" t="s">
        <v>122</v>
      </c>
      <c r="X553" s="101"/>
      <c r="Y553" s="449">
        <f>'Kalkulace a Porovnání'!Y553</f>
        <v>0</v>
      </c>
      <c r="Z553" s="449">
        <f>'Kalkulace a Porovnání'!Z553</f>
        <v>0</v>
      </c>
      <c r="AA553" s="449">
        <f>'Kalkulace a Porovnání'!AA553</f>
        <v>0</v>
      </c>
      <c r="AB553" s="449">
        <f>'Kalkulace a Porovnání'!AB553</f>
        <v>0</v>
      </c>
      <c r="AC553" s="183"/>
      <c r="AD553" s="547"/>
      <c r="AG553" s="547"/>
      <c r="AH553" s="547"/>
      <c r="AI553" s="547"/>
      <c r="AJ553" s="547"/>
      <c r="AK553" s="547"/>
      <c r="AL553" s="183"/>
    </row>
    <row r="554" spans="2:38" x14ac:dyDescent="0.25">
      <c r="B554" s="12" t="s">
        <v>95</v>
      </c>
      <c r="C554" s="13" t="s">
        <v>96</v>
      </c>
      <c r="D554" s="13" t="s">
        <v>66</v>
      </c>
      <c r="E554" s="732" t="s">
        <v>124</v>
      </c>
      <c r="F554" s="733"/>
      <c r="G554" s="449">
        <f>'Kalkulace a Porovnání'!G554</f>
        <v>0</v>
      </c>
      <c r="H554" s="449">
        <f>'Kalkulace a Porovnání'!H554</f>
        <v>0</v>
      </c>
      <c r="K554" s="12" t="s">
        <v>95</v>
      </c>
      <c r="L554" s="13" t="s">
        <v>96</v>
      </c>
      <c r="M554" s="13" t="s">
        <v>66</v>
      </c>
      <c r="N554" s="732" t="s">
        <v>124</v>
      </c>
      <c r="O554" s="733"/>
      <c r="P554" s="449">
        <f>'Kalkulace a Porovnání'!P554</f>
        <v>0</v>
      </c>
      <c r="Q554" s="449">
        <f>'Kalkulace a Porovnání'!Q554</f>
        <v>0</v>
      </c>
      <c r="T554" s="12" t="s">
        <v>95</v>
      </c>
      <c r="U554" s="13" t="s">
        <v>96</v>
      </c>
      <c r="V554" s="13" t="s">
        <v>66</v>
      </c>
      <c r="W554" s="13" t="s">
        <v>124</v>
      </c>
      <c r="X554" s="101"/>
      <c r="Y554" s="449">
        <f>'Kalkulace a Porovnání'!Y554</f>
        <v>0</v>
      </c>
      <c r="Z554" s="449">
        <f>'Kalkulace a Porovnání'!Z554</f>
        <v>0</v>
      </c>
      <c r="AA554" s="449">
        <f>'Kalkulace a Porovnání'!AA554</f>
        <v>0</v>
      </c>
      <c r="AB554" s="449">
        <f>'Kalkulace a Porovnání'!AB554</f>
        <v>0</v>
      </c>
      <c r="AC554" s="183"/>
      <c r="AD554" s="547"/>
      <c r="AG554" s="547"/>
      <c r="AH554" s="547"/>
      <c r="AI554" s="547"/>
      <c r="AJ554" s="547"/>
      <c r="AK554" s="547"/>
      <c r="AL554" s="183"/>
    </row>
    <row r="555" spans="2:38" x14ac:dyDescent="0.25">
      <c r="B555" s="12" t="s">
        <v>97</v>
      </c>
      <c r="C555" s="13" t="s">
        <v>98</v>
      </c>
      <c r="D555" s="13" t="s">
        <v>83</v>
      </c>
      <c r="E555" s="732" t="s">
        <v>125</v>
      </c>
      <c r="F555" s="733"/>
      <c r="G555" s="172">
        <f>'Kalkulace a Porovnání'!G555</f>
        <v>0</v>
      </c>
      <c r="H555" s="172">
        <f>'Kalkulace a Porovnání'!H555</f>
        <v>0</v>
      </c>
      <c r="K555" s="12" t="s">
        <v>97</v>
      </c>
      <c r="L555" s="13" t="s">
        <v>98</v>
      </c>
      <c r="M555" s="13" t="s">
        <v>83</v>
      </c>
      <c r="N555" s="732" t="s">
        <v>125</v>
      </c>
      <c r="O555" s="733"/>
      <c r="P555" s="172">
        <f>'Kalkulace a Porovnání'!P555</f>
        <v>0</v>
      </c>
      <c r="Q555" s="172">
        <f>'Kalkulace a Porovnání'!Q555</f>
        <v>0</v>
      </c>
      <c r="T555" s="12" t="s">
        <v>97</v>
      </c>
      <c r="U555" s="13" t="s">
        <v>98</v>
      </c>
      <c r="V555" s="13" t="s">
        <v>83</v>
      </c>
      <c r="W555" s="13" t="s">
        <v>125</v>
      </c>
      <c r="X555" s="101"/>
      <c r="Y555" s="172">
        <f>'Kalkulace a Porovnání'!Y555</f>
        <v>0</v>
      </c>
      <c r="Z555" s="172">
        <f>'Kalkulace a Porovnání'!Z555</f>
        <v>0</v>
      </c>
      <c r="AA555" s="172">
        <f>'Kalkulace a Porovnání'!AA555</f>
        <v>0</v>
      </c>
      <c r="AB555" s="172">
        <f>'Kalkulace a Porovnání'!AB555</f>
        <v>0</v>
      </c>
      <c r="AC555" s="183"/>
      <c r="AD555" s="547"/>
      <c r="AG555" s="547"/>
      <c r="AH555" s="547"/>
      <c r="AI555" s="547"/>
      <c r="AJ555" s="547"/>
      <c r="AK555" s="547"/>
      <c r="AL555" s="183"/>
    </row>
    <row r="556" spans="2:38" x14ac:dyDescent="0.25">
      <c r="B556" s="12" t="s">
        <v>99</v>
      </c>
      <c r="C556" s="13" t="str">
        <f>CONCATENATE("CENA pro vodné, stočné + ",Provozování!E584*100,"% DPH")</f>
        <v>CENA pro vodné, stočné + 0% DPH</v>
      </c>
      <c r="D556" s="13" t="s">
        <v>83</v>
      </c>
      <c r="E556" s="732" t="s">
        <v>126</v>
      </c>
      <c r="F556" s="733"/>
      <c r="G556" s="172">
        <f>'Kalkulace a Porovnání'!G556</f>
        <v>0</v>
      </c>
      <c r="H556" s="172">
        <f>'Kalkulace a Porovnání'!H556</f>
        <v>0</v>
      </c>
      <c r="K556" s="12" t="s">
        <v>99</v>
      </c>
      <c r="L556" s="13" t="str">
        <f>C556</f>
        <v>CENA pro vodné, stočné + 0% DPH</v>
      </c>
      <c r="M556" s="13" t="s">
        <v>83</v>
      </c>
      <c r="N556" s="732" t="s">
        <v>126</v>
      </c>
      <c r="O556" s="733"/>
      <c r="P556" s="172">
        <f>'Kalkulace a Porovnání'!P556</f>
        <v>0</v>
      </c>
      <c r="Q556" s="172">
        <f>'Kalkulace a Porovnání'!Q556</f>
        <v>0</v>
      </c>
      <c r="T556" s="12" t="s">
        <v>99</v>
      </c>
      <c r="U556" s="13" t="str">
        <f>C556</f>
        <v>CENA pro vodné, stočné + 0% DPH</v>
      </c>
      <c r="V556" s="13" t="s">
        <v>83</v>
      </c>
      <c r="W556" s="13" t="s">
        <v>126</v>
      </c>
      <c r="X556" s="101"/>
      <c r="Y556" s="172">
        <f>'Kalkulace a Porovnání'!Y556</f>
        <v>0</v>
      </c>
      <c r="Z556" s="172">
        <f>'Kalkulace a Porovnání'!Z556</f>
        <v>0</v>
      </c>
      <c r="AA556" s="172">
        <f>'Kalkulace a Porovnání'!AA556</f>
        <v>0</v>
      </c>
      <c r="AB556" s="172">
        <f>'Kalkulace a Porovnání'!AB556</f>
        <v>0</v>
      </c>
      <c r="AC556" s="183"/>
      <c r="AD556" s="547"/>
      <c r="AG556" s="547"/>
      <c r="AH556" s="547"/>
      <c r="AI556" s="547"/>
      <c r="AJ556" s="547"/>
      <c r="AK556" s="547"/>
      <c r="AL556" s="183"/>
    </row>
    <row r="557" spans="2:38" x14ac:dyDescent="0.25"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T557" s="967" t="s">
        <v>203</v>
      </c>
      <c r="U557" s="967" t="s">
        <v>202</v>
      </c>
      <c r="V557" s="968" t="s">
        <v>10</v>
      </c>
      <c r="W557" s="919" t="s">
        <v>204</v>
      </c>
      <c r="X557" s="732"/>
      <c r="Y557" s="102" t="s">
        <v>206</v>
      </c>
      <c r="Z557" s="105" t="s">
        <v>207</v>
      </c>
      <c r="AA557" s="102" t="s">
        <v>206</v>
      </c>
      <c r="AB557" s="105" t="s">
        <v>207</v>
      </c>
      <c r="AC557" s="183"/>
      <c r="AD557" s="547"/>
      <c r="AG557" s="547"/>
      <c r="AH557" s="547"/>
      <c r="AI557" s="547"/>
      <c r="AJ557" s="547"/>
      <c r="AK557" s="547"/>
      <c r="AL557" s="183"/>
    </row>
    <row r="558" spans="2:38" x14ac:dyDescent="0.25">
      <c r="B558" s="500"/>
      <c r="C558" s="499"/>
      <c r="D558" s="499"/>
      <c r="E558" s="499"/>
      <c r="F558" s="499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T558" s="967"/>
      <c r="U558" s="967"/>
      <c r="V558" s="968"/>
      <c r="W558" s="969">
        <f>'Kalkulace a Porovnání'!W558</f>
        <v>0</v>
      </c>
      <c r="X558" s="970"/>
      <c r="Y558" s="103">
        <f>'Kalkulace a Porovnání'!Y558</f>
        <v>2027</v>
      </c>
      <c r="Z558" s="103">
        <f>'Kalkulace a Porovnání'!Z558</f>
        <v>2027</v>
      </c>
      <c r="AA558" s="103">
        <f>'Kalkulace a Porovnání'!AA558</f>
        <v>2027</v>
      </c>
      <c r="AB558" s="103">
        <f>'Kalkulace a Porovnání'!AB558</f>
        <v>2027</v>
      </c>
      <c r="AC558" s="183"/>
      <c r="AD558" s="547"/>
      <c r="AG558" s="547"/>
      <c r="AH558" s="547"/>
      <c r="AI558" s="547"/>
      <c r="AJ558" s="547"/>
      <c r="AK558" s="547"/>
      <c r="AL558" s="183"/>
    </row>
    <row r="559" spans="2:38" x14ac:dyDescent="0.25">
      <c r="B559" s="500"/>
      <c r="C559" s="499"/>
      <c r="D559" s="499"/>
      <c r="E559" s="499"/>
      <c r="F559" s="499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T559" s="967"/>
      <c r="U559" s="967"/>
      <c r="V559" s="968"/>
      <c r="W559" s="919" t="s">
        <v>205</v>
      </c>
      <c r="X559" s="732"/>
      <c r="Y559" s="104" t="s">
        <v>208</v>
      </c>
      <c r="Z559" s="104" t="s">
        <v>208</v>
      </c>
      <c r="AA559" s="104" t="s">
        <v>209</v>
      </c>
      <c r="AB559" s="104" t="s">
        <v>209</v>
      </c>
      <c r="AC559" s="183"/>
      <c r="AD559" s="547"/>
      <c r="AG559" s="547"/>
      <c r="AH559" s="547"/>
      <c r="AI559" s="547"/>
      <c r="AJ559" s="547"/>
      <c r="AK559" s="547"/>
      <c r="AL559" s="183"/>
    </row>
    <row r="560" spans="2:38" x14ac:dyDescent="0.25">
      <c r="B560" s="499"/>
      <c r="C560" s="499"/>
      <c r="D560" s="499"/>
      <c r="E560" s="499"/>
      <c r="F560" s="499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T560" s="967"/>
      <c r="U560" s="967"/>
      <c r="V560" s="968"/>
      <c r="W560" s="971">
        <f>'Kalkulace a Porovnání'!W560</f>
        <v>0</v>
      </c>
      <c r="X560" s="971"/>
      <c r="Y560" s="449">
        <f>'Kalkulace a Porovnání'!Y560</f>
        <v>0</v>
      </c>
      <c r="Z560" s="449">
        <f>'Kalkulace a Porovnání'!Z560</f>
        <v>0</v>
      </c>
      <c r="AA560" s="449">
        <f>'Kalkulace a Porovnání'!AA560</f>
        <v>0</v>
      </c>
      <c r="AB560" s="449">
        <f>'Kalkulace a Porovnání'!AB560</f>
        <v>0</v>
      </c>
      <c r="AC560" s="183"/>
      <c r="AD560" s="547"/>
      <c r="AG560" s="547"/>
      <c r="AH560" s="547"/>
      <c r="AI560" s="547"/>
      <c r="AJ560" s="547"/>
      <c r="AK560" s="547"/>
      <c r="AL560" s="183"/>
    </row>
    <row r="561" spans="2:38" x14ac:dyDescent="0.25">
      <c r="B561" s="31"/>
      <c r="AC561" s="183"/>
      <c r="AD561" s="547"/>
      <c r="AG561" s="547"/>
      <c r="AH561" s="547"/>
      <c r="AI561" s="547"/>
      <c r="AJ561" s="547"/>
      <c r="AK561" s="547"/>
      <c r="AL561" s="183"/>
    </row>
    <row r="562" spans="2:38" x14ac:dyDescent="0.25">
      <c r="B562" s="726" t="s">
        <v>393</v>
      </c>
      <c r="C562" s="727"/>
      <c r="D562" s="727"/>
      <c r="E562" s="727"/>
      <c r="F562" s="727"/>
      <c r="G562" s="727"/>
      <c r="H562" s="727"/>
      <c r="K562" s="726" t="s">
        <v>394</v>
      </c>
      <c r="L562" s="727"/>
      <c r="M562" s="727"/>
      <c r="N562" s="727"/>
      <c r="O562" s="727"/>
      <c r="P562" s="727"/>
      <c r="Q562" s="727"/>
      <c r="T562" s="726" t="s">
        <v>210</v>
      </c>
      <c r="U562" s="727"/>
      <c r="V562" s="727"/>
      <c r="W562" s="727"/>
      <c r="X562" s="727"/>
      <c r="Y562" s="727"/>
      <c r="Z562" s="727"/>
      <c r="AA562" s="727"/>
      <c r="AB562" s="727"/>
      <c r="AC562" s="183"/>
      <c r="AD562" s="547"/>
      <c r="AG562" s="547"/>
      <c r="AH562" s="547"/>
      <c r="AI562" s="547"/>
      <c r="AJ562" s="547"/>
      <c r="AK562" s="547"/>
      <c r="AL562" s="183"/>
    </row>
    <row r="563" spans="2:38" x14ac:dyDescent="0.25">
      <c r="C563" s="362"/>
      <c r="E563" s="25"/>
      <c r="F563" s="25"/>
      <c r="L563" s="25"/>
      <c r="N563" s="25"/>
      <c r="T563" s="950" t="s">
        <v>395</v>
      </c>
      <c r="U563" s="950"/>
      <c r="V563" s="950"/>
      <c r="W563" s="950"/>
      <c r="X563" s="950"/>
      <c r="Y563" s="950"/>
      <c r="Z563" s="950"/>
      <c r="AA563" s="950"/>
      <c r="AB563" s="950"/>
      <c r="AC563" s="183"/>
      <c r="AD563" s="547"/>
      <c r="AG563" s="547"/>
      <c r="AH563" s="547"/>
      <c r="AI563" s="547"/>
      <c r="AJ563" s="547"/>
      <c r="AK563" s="547"/>
      <c r="AL563" s="183"/>
    </row>
    <row r="564" spans="2:38" x14ac:dyDescent="0.25">
      <c r="C564" s="362" t="s">
        <v>119</v>
      </c>
      <c r="D564" s="364">
        <f>'Kalkulace a Porovnání'!D564</f>
        <v>2028</v>
      </c>
      <c r="E564" s="25"/>
      <c r="F564" s="362" t="s">
        <v>278</v>
      </c>
      <c r="G564" s="365" t="str">
        <f>'Kalkulace a Porovnání'!G564</f>
        <v>-</v>
      </c>
      <c r="H564" s="365" t="str">
        <f>'Kalkulace a Porovnání'!H564</f>
        <v xml:space="preserve"> </v>
      </c>
      <c r="L564" s="362" t="s">
        <v>119</v>
      </c>
      <c r="M564" s="364">
        <f>'Kalkulace a Porovnání'!M564</f>
        <v>2028</v>
      </c>
      <c r="O564" s="362" t="s">
        <v>278</v>
      </c>
      <c r="P564" s="365" t="str">
        <f>'Kalkulace a Porovnání'!P564</f>
        <v>-</v>
      </c>
      <c r="Q564" s="365" t="str">
        <f>'Kalkulace a Porovnání'!Q564</f>
        <v xml:space="preserve"> </v>
      </c>
      <c r="T564" s="441"/>
      <c r="U564" s="441"/>
      <c r="V564" s="451" t="s">
        <v>195</v>
      </c>
      <c r="W564" s="364">
        <f>'Kalkulace a Porovnání'!W564</f>
        <v>2028</v>
      </c>
      <c r="Z564" s="362" t="s">
        <v>278</v>
      </c>
      <c r="AA564" s="365" t="str">
        <f>'Kalkulace a Porovnání'!AA564</f>
        <v>-</v>
      </c>
      <c r="AB564" s="365" t="str">
        <f>'Kalkulace a Porovnání'!AB564</f>
        <v xml:space="preserve"> </v>
      </c>
      <c r="AC564" s="183"/>
      <c r="AD564" s="547"/>
      <c r="AG564" s="547"/>
      <c r="AH564" s="547"/>
      <c r="AI564" s="547"/>
      <c r="AJ564" s="547"/>
      <c r="AK564" s="547"/>
      <c r="AL564" s="183"/>
    </row>
    <row r="565" spans="2:38" x14ac:dyDescent="0.25">
      <c r="B565" s="13" t="s">
        <v>74</v>
      </c>
      <c r="C565" s="13" t="s">
        <v>105</v>
      </c>
      <c r="D565" s="941" t="str">
        <f>'Kalkulace a Porovnání'!D565</f>
        <v/>
      </c>
      <c r="E565" s="942"/>
      <c r="F565" s="942"/>
      <c r="G565" s="942"/>
      <c r="H565" s="943"/>
      <c r="K565" s="13" t="s">
        <v>74</v>
      </c>
      <c r="L565" s="13" t="s">
        <v>105</v>
      </c>
      <c r="M565" s="941" t="str">
        <f>'Kalkulace a Porovnání'!M565</f>
        <v/>
      </c>
      <c r="N565" s="942"/>
      <c r="O565" s="942"/>
      <c r="P565" s="942"/>
      <c r="Q565" s="943"/>
      <c r="T565" s="13" t="s">
        <v>74</v>
      </c>
      <c r="U565" s="13" t="s">
        <v>105</v>
      </c>
      <c r="V565" s="949" t="str">
        <f>'Kalkulace a Porovnání'!V565</f>
        <v/>
      </c>
      <c r="W565" s="738"/>
      <c r="X565" s="738"/>
      <c r="Y565" s="738"/>
      <c r="Z565" s="738"/>
      <c r="AA565" s="738"/>
      <c r="AB565" s="738"/>
      <c r="AC565" s="183"/>
      <c r="AD565" s="547"/>
      <c r="AG565" s="342"/>
      <c r="AH565" s="342"/>
      <c r="AI565" s="342"/>
      <c r="AJ565" s="342"/>
      <c r="AK565" s="547"/>
      <c r="AL565" s="183"/>
    </row>
    <row r="566" spans="2:38" x14ac:dyDescent="0.25">
      <c r="B566" s="13" t="s">
        <v>100</v>
      </c>
      <c r="C566" s="13" t="s">
        <v>106</v>
      </c>
      <c r="D566" s="941" t="str">
        <f>'Kalkulace a Porovnání'!D566</f>
        <v/>
      </c>
      <c r="E566" s="942"/>
      <c r="F566" s="942"/>
      <c r="G566" s="942"/>
      <c r="H566" s="943"/>
      <c r="K566" s="13" t="s">
        <v>100</v>
      </c>
      <c r="L566" s="13" t="s">
        <v>106</v>
      </c>
      <c r="M566" s="941" t="str">
        <f>'Kalkulace a Porovnání'!M566</f>
        <v/>
      </c>
      <c r="N566" s="942"/>
      <c r="O566" s="942"/>
      <c r="P566" s="942"/>
      <c r="Q566" s="943"/>
      <c r="T566" s="13" t="s">
        <v>100</v>
      </c>
      <c r="U566" s="13" t="s">
        <v>106</v>
      </c>
      <c r="V566" s="949" t="str">
        <f>'Kalkulace a Porovnání'!V566</f>
        <v/>
      </c>
      <c r="W566" s="738"/>
      <c r="X566" s="738"/>
      <c r="Y566" s="738"/>
      <c r="Z566" s="738"/>
      <c r="AA566" s="738"/>
      <c r="AB566" s="738"/>
      <c r="AC566" s="183"/>
      <c r="AD566" s="547"/>
      <c r="AG566" s="342"/>
      <c r="AH566" s="342"/>
      <c r="AI566" s="342"/>
      <c r="AJ566" s="342"/>
      <c r="AK566" s="547"/>
      <c r="AL566" s="183"/>
    </row>
    <row r="567" spans="2:38" x14ac:dyDescent="0.25">
      <c r="B567" s="13" t="s">
        <v>101</v>
      </c>
      <c r="C567" s="13" t="s">
        <v>107</v>
      </c>
      <c r="D567" s="941" t="str">
        <f>'Kalkulace a Porovnání'!D567</f>
        <v xml:space="preserve">Město Kraslice, IČ </v>
      </c>
      <c r="E567" s="942"/>
      <c r="F567" s="942"/>
      <c r="G567" s="942"/>
      <c r="H567" s="943"/>
      <c r="K567" s="13" t="s">
        <v>101</v>
      </c>
      <c r="L567" s="13" t="s">
        <v>107</v>
      </c>
      <c r="M567" s="941" t="str">
        <f>'Kalkulace a Porovnání'!M567</f>
        <v xml:space="preserve">Město Kraslice, IČ </v>
      </c>
      <c r="N567" s="942"/>
      <c r="O567" s="942"/>
      <c r="P567" s="942"/>
      <c r="Q567" s="943"/>
      <c r="T567" s="13" t="s">
        <v>101</v>
      </c>
      <c r="U567" s="13" t="s">
        <v>107</v>
      </c>
      <c r="V567" s="949" t="str">
        <f>'Kalkulace a Porovnání'!V567</f>
        <v xml:space="preserve">Město Kraslice, IČ </v>
      </c>
      <c r="W567" s="738"/>
      <c r="X567" s="738"/>
      <c r="Y567" s="738"/>
      <c r="Z567" s="738"/>
      <c r="AA567" s="738"/>
      <c r="AB567" s="738"/>
      <c r="AC567" s="183"/>
      <c r="AD567" s="547"/>
      <c r="AG567" s="342"/>
      <c r="AH567" s="342"/>
      <c r="AI567" s="342"/>
      <c r="AJ567" s="342"/>
      <c r="AK567" s="547"/>
      <c r="AL567" s="183"/>
    </row>
    <row r="568" spans="2:38" x14ac:dyDescent="0.25">
      <c r="B568" s="13" t="s">
        <v>102</v>
      </c>
      <c r="C568" s="13" t="s">
        <v>109</v>
      </c>
      <c r="D568" s="941" t="str">
        <f>'Kalkulace a Porovnání'!D568</f>
        <v>[vyplnit]</v>
      </c>
      <c r="E568" s="942"/>
      <c r="F568" s="942"/>
      <c r="G568" s="942"/>
      <c r="H568" s="943"/>
      <c r="K568" s="13" t="s">
        <v>102</v>
      </c>
      <c r="L568" s="13" t="s">
        <v>109</v>
      </c>
      <c r="M568" s="941" t="str">
        <f>'Kalkulace a Porovnání'!M568</f>
        <v xml:space="preserve"> </v>
      </c>
      <c r="N568" s="942"/>
      <c r="O568" s="942"/>
      <c r="P568" s="942"/>
      <c r="Q568" s="943"/>
      <c r="T568" s="13" t="s">
        <v>102</v>
      </c>
      <c r="U568" s="13" t="s">
        <v>109</v>
      </c>
      <c r="V568" s="949" t="str">
        <f>'Kalkulace a Porovnání'!V568</f>
        <v xml:space="preserve"> </v>
      </c>
      <c r="W568" s="738"/>
      <c r="X568" s="738"/>
      <c r="Y568" s="738"/>
      <c r="Z568" s="738"/>
      <c r="AA568" s="738"/>
      <c r="AB568" s="738"/>
      <c r="AC568" s="183"/>
      <c r="AD568" s="547"/>
      <c r="AG568" s="342"/>
      <c r="AH568" s="342"/>
      <c r="AI568" s="342"/>
      <c r="AJ568" s="342"/>
      <c r="AK568" s="547"/>
      <c r="AL568" s="183"/>
    </row>
    <row r="569" spans="2:38" x14ac:dyDescent="0.25">
      <c r="B569" s="13" t="s">
        <v>103</v>
      </c>
      <c r="C569" s="13" t="s">
        <v>108</v>
      </c>
      <c r="D569" s="941" t="str">
        <f>'Kalkulace a Porovnání'!D569</f>
        <v>[vyplnit]</v>
      </c>
      <c r="E569" s="942"/>
      <c r="F569" s="942"/>
      <c r="G569" s="942"/>
      <c r="H569" s="943"/>
      <c r="K569" s="13" t="s">
        <v>103</v>
      </c>
      <c r="L569" s="13" t="s">
        <v>108</v>
      </c>
      <c r="M569" s="941" t="str">
        <f>'Kalkulace a Porovnání'!M569</f>
        <v xml:space="preserve"> </v>
      </c>
      <c r="N569" s="942"/>
      <c r="O569" s="942"/>
      <c r="P569" s="942"/>
      <c r="Q569" s="943"/>
      <c r="T569" s="13" t="s">
        <v>103</v>
      </c>
      <c r="U569" s="13" t="s">
        <v>108</v>
      </c>
      <c r="V569" s="949" t="str">
        <f>'Kalkulace a Porovnání'!V569</f>
        <v xml:space="preserve"> </v>
      </c>
      <c r="W569" s="738"/>
      <c r="X569" s="738"/>
      <c r="Y569" s="738"/>
      <c r="Z569" s="738"/>
      <c r="AA569" s="738"/>
      <c r="AB569" s="738"/>
      <c r="AC569" s="183"/>
      <c r="AD569" s="547"/>
      <c r="AG569" s="342"/>
      <c r="AH569" s="342"/>
      <c r="AI569" s="342"/>
      <c r="AJ569" s="342"/>
      <c r="AK569" s="547"/>
      <c r="AL569" s="183"/>
    </row>
    <row r="570" spans="2:38" x14ac:dyDescent="0.25">
      <c r="B570" s="13" t="s">
        <v>104</v>
      </c>
      <c r="C570" s="13" t="s">
        <v>110</v>
      </c>
      <c r="D570" s="941" t="str">
        <f>'Kalkulace a Porovnání'!D570</f>
        <v>[vyplnit]</v>
      </c>
      <c r="E570" s="942"/>
      <c r="F570" s="942"/>
      <c r="G570" s="942"/>
      <c r="H570" s="943"/>
      <c r="K570" s="13" t="s">
        <v>104</v>
      </c>
      <c r="L570" s="13" t="s">
        <v>110</v>
      </c>
      <c r="M570" s="941" t="str">
        <f>'Kalkulace a Porovnání'!M570</f>
        <v xml:space="preserve"> </v>
      </c>
      <c r="N570" s="942"/>
      <c r="O570" s="942"/>
      <c r="P570" s="942"/>
      <c r="Q570" s="943"/>
      <c r="T570" s="13" t="s">
        <v>104</v>
      </c>
      <c r="U570" s="13" t="s">
        <v>110</v>
      </c>
      <c r="V570" s="949" t="str">
        <f>'Kalkulace a Porovnání'!V570</f>
        <v xml:space="preserve"> </v>
      </c>
      <c r="W570" s="738"/>
      <c r="X570" s="738"/>
      <c r="Y570" s="738"/>
      <c r="Z570" s="738"/>
      <c r="AA570" s="738"/>
      <c r="AB570" s="738"/>
      <c r="AC570" s="183"/>
      <c r="AD570" s="547"/>
      <c r="AG570" s="342"/>
      <c r="AH570" s="342"/>
      <c r="AI570" s="342"/>
      <c r="AJ570" s="342"/>
      <c r="AK570" s="547"/>
      <c r="AL570" s="183"/>
    </row>
    <row r="571" spans="2:38" x14ac:dyDescent="0.25">
      <c r="AC571" s="183"/>
      <c r="AD571" s="547"/>
      <c r="AG571" s="342"/>
      <c r="AH571" s="342"/>
      <c r="AI571" s="342"/>
      <c r="AJ571" s="342"/>
      <c r="AK571" s="547"/>
      <c r="AL571" s="183"/>
    </row>
    <row r="572" spans="2:38" x14ac:dyDescent="0.25">
      <c r="B572" s="932" t="s">
        <v>5</v>
      </c>
      <c r="C572" s="721" t="s">
        <v>0</v>
      </c>
      <c r="D572" s="722"/>
      <c r="E572" s="722"/>
      <c r="F572" s="722"/>
      <c r="G572" s="722"/>
      <c r="H572" s="725"/>
      <c r="K572" s="932" t="s">
        <v>5</v>
      </c>
      <c r="L572" s="721" t="s">
        <v>0</v>
      </c>
      <c r="M572" s="722"/>
      <c r="N572" s="722"/>
      <c r="O572" s="722"/>
      <c r="P572" s="722"/>
      <c r="Q572" s="725"/>
      <c r="T572" s="932" t="s">
        <v>5</v>
      </c>
      <c r="U572" s="721" t="s">
        <v>0</v>
      </c>
      <c r="V572" s="722"/>
      <c r="W572" s="722"/>
      <c r="X572" s="722"/>
      <c r="Y572" s="722"/>
      <c r="Z572" s="722"/>
      <c r="AA572" s="722"/>
      <c r="AB572" s="725"/>
      <c r="AC572" s="183"/>
      <c r="AD572" s="547"/>
      <c r="AG572" s="342"/>
      <c r="AH572" s="342"/>
      <c r="AI572" s="342"/>
      <c r="AJ572" s="342"/>
      <c r="AK572" s="547"/>
      <c r="AL572" s="183"/>
    </row>
    <row r="573" spans="2:38" x14ac:dyDescent="0.25">
      <c r="B573" s="930"/>
      <c r="C573" s="932" t="s">
        <v>1</v>
      </c>
      <c r="D573" s="929" t="s">
        <v>173</v>
      </c>
      <c r="E573" s="721" t="s">
        <v>3</v>
      </c>
      <c r="F573" s="722"/>
      <c r="G573" s="721" t="s">
        <v>4</v>
      </c>
      <c r="H573" s="725"/>
      <c r="K573" s="930"/>
      <c r="L573" s="932" t="s">
        <v>1</v>
      </c>
      <c r="M573" s="929" t="s">
        <v>173</v>
      </c>
      <c r="N573" s="721" t="s">
        <v>3</v>
      </c>
      <c r="O573" s="722"/>
      <c r="P573" s="721" t="s">
        <v>4</v>
      </c>
      <c r="Q573" s="725"/>
      <c r="T573" s="930"/>
      <c r="U573" s="932" t="s">
        <v>1</v>
      </c>
      <c r="V573" s="929" t="s">
        <v>173</v>
      </c>
      <c r="W573" s="721" t="s">
        <v>3</v>
      </c>
      <c r="X573" s="722"/>
      <c r="Y573" s="722"/>
      <c r="Z573" s="721" t="s">
        <v>4</v>
      </c>
      <c r="AA573" s="722"/>
      <c r="AB573" s="725"/>
      <c r="AC573" s="183"/>
      <c r="AD573" s="547"/>
      <c r="AG573" s="342"/>
      <c r="AH573" s="342"/>
      <c r="AI573" s="342"/>
      <c r="AJ573" s="342"/>
      <c r="AK573" s="547"/>
      <c r="AL573" s="183"/>
    </row>
    <row r="574" spans="2:38" x14ac:dyDescent="0.25">
      <c r="B574" s="930"/>
      <c r="C574" s="930"/>
      <c r="D574" s="930"/>
      <c r="E574" s="30">
        <f>'Kalkulace a Porovnání'!E574</f>
        <v>2027</v>
      </c>
      <c r="F574" s="30">
        <f>'Kalkulace a Porovnání'!F574</f>
        <v>2028</v>
      </c>
      <c r="G574" s="30">
        <f>'Kalkulace a Porovnání'!G574</f>
        <v>2027</v>
      </c>
      <c r="H574" s="30">
        <f>'Kalkulace a Porovnání'!H574</f>
        <v>2028</v>
      </c>
      <c r="K574" s="930"/>
      <c r="L574" s="930"/>
      <c r="M574" s="930"/>
      <c r="N574" s="30">
        <f>'Kalkulace a Porovnání'!N574</f>
        <v>2027</v>
      </c>
      <c r="O574" s="30">
        <f>'Kalkulace a Porovnání'!O574</f>
        <v>2028</v>
      </c>
      <c r="P574" s="30">
        <f>'Kalkulace a Porovnání'!P574</f>
        <v>2027</v>
      </c>
      <c r="Q574" s="30">
        <f>'Kalkulace a Porovnání'!Q574</f>
        <v>2028</v>
      </c>
      <c r="T574" s="930"/>
      <c r="U574" s="930"/>
      <c r="V574" s="930"/>
      <c r="W574" s="30">
        <f>'Kalkulace a Porovnání'!W574</f>
        <v>2028</v>
      </c>
      <c r="X574" s="30">
        <f>'Kalkulace a Porovnání'!X574</f>
        <v>2028</v>
      </c>
      <c r="Y574" s="30">
        <f>'Kalkulace a Porovnání'!Y574</f>
        <v>2028</v>
      </c>
      <c r="Z574" s="30">
        <f>'Kalkulace a Porovnání'!Z574</f>
        <v>2028</v>
      </c>
      <c r="AA574" s="30">
        <f>'Kalkulace a Porovnání'!AA574</f>
        <v>2028</v>
      </c>
      <c r="AB574" s="30">
        <f>'Kalkulace a Porovnání'!AB574</f>
        <v>2028</v>
      </c>
      <c r="AC574" s="183"/>
      <c r="AD574" s="547"/>
      <c r="AG574" s="342"/>
      <c r="AH574" s="342"/>
      <c r="AI574" s="342"/>
      <c r="AJ574" s="342"/>
      <c r="AK574" s="547"/>
      <c r="AL574" s="183"/>
    </row>
    <row r="575" spans="2:38" x14ac:dyDescent="0.25">
      <c r="B575" s="931"/>
      <c r="C575" s="931"/>
      <c r="D575" s="931"/>
      <c r="E575" s="7" t="s">
        <v>199</v>
      </c>
      <c r="F575" s="7" t="s">
        <v>114</v>
      </c>
      <c r="G575" s="7" t="s">
        <v>199</v>
      </c>
      <c r="H575" s="19" t="s">
        <v>114</v>
      </c>
      <c r="K575" s="931"/>
      <c r="L575" s="931"/>
      <c r="M575" s="931"/>
      <c r="N575" s="7" t="s">
        <v>199</v>
      </c>
      <c r="O575" s="7" t="s">
        <v>114</v>
      </c>
      <c r="P575" s="7" t="s">
        <v>199</v>
      </c>
      <c r="Q575" s="19" t="s">
        <v>114</v>
      </c>
      <c r="T575" s="931"/>
      <c r="U575" s="931"/>
      <c r="V575" s="931"/>
      <c r="W575" s="7" t="s">
        <v>198</v>
      </c>
      <c r="X575" s="7" t="s">
        <v>114</v>
      </c>
      <c r="Y575" s="7" t="s">
        <v>197</v>
      </c>
      <c r="Z575" s="7" t="s">
        <v>198</v>
      </c>
      <c r="AA575" s="7" t="s">
        <v>114</v>
      </c>
      <c r="AB575" s="19" t="s">
        <v>197</v>
      </c>
      <c r="AC575" s="183"/>
      <c r="AD575" s="547"/>
      <c r="AG575" s="342"/>
      <c r="AH575" s="342"/>
      <c r="AI575" s="342"/>
      <c r="AJ575" s="342"/>
      <c r="AK575" s="547"/>
      <c r="AL575" s="183"/>
    </row>
    <row r="576" spans="2:38" x14ac:dyDescent="0.25">
      <c r="B576" s="11">
        <v>1</v>
      </c>
      <c r="C576" s="11">
        <v>2</v>
      </c>
      <c r="D576" s="11" t="s">
        <v>111</v>
      </c>
      <c r="E576" s="11">
        <v>3</v>
      </c>
      <c r="F576" s="11">
        <v>4</v>
      </c>
      <c r="G576" s="11">
        <v>6</v>
      </c>
      <c r="H576" s="22">
        <v>7</v>
      </c>
      <c r="K576" s="11">
        <v>1</v>
      </c>
      <c r="L576" s="11">
        <v>2</v>
      </c>
      <c r="M576" s="11" t="s">
        <v>111</v>
      </c>
      <c r="N576" s="11">
        <v>3</v>
      </c>
      <c r="O576" s="11">
        <v>4</v>
      </c>
      <c r="P576" s="11">
        <v>6</v>
      </c>
      <c r="Q576" s="22">
        <v>7</v>
      </c>
      <c r="T576" s="11">
        <v>1</v>
      </c>
      <c r="U576" s="11">
        <v>2</v>
      </c>
      <c r="V576" s="11" t="s">
        <v>111</v>
      </c>
      <c r="W576" s="11">
        <v>3</v>
      </c>
      <c r="X576" s="11">
        <v>4</v>
      </c>
      <c r="Y576" s="11">
        <v>5</v>
      </c>
      <c r="Z576" s="11">
        <v>6</v>
      </c>
      <c r="AA576" s="11">
        <v>7</v>
      </c>
      <c r="AB576" s="22">
        <v>8</v>
      </c>
      <c r="AC576" s="183"/>
      <c r="AD576" s="547"/>
      <c r="AG576" s="342"/>
      <c r="AH576" s="342"/>
      <c r="AI576" s="342"/>
      <c r="AJ576" s="342"/>
      <c r="AK576" s="547"/>
      <c r="AL576" s="183"/>
    </row>
    <row r="577" spans="2:38" x14ac:dyDescent="0.25">
      <c r="B577" s="9" t="s">
        <v>8</v>
      </c>
      <c r="C577" s="10" t="s">
        <v>9</v>
      </c>
      <c r="D577" s="11" t="s">
        <v>10</v>
      </c>
      <c r="E577" s="46">
        <f>'Kalkulace a Porovnání'!E577</f>
        <v>0</v>
      </c>
      <c r="F577" s="46">
        <f>'Kalkulace a Porovnání'!F577</f>
        <v>0</v>
      </c>
      <c r="G577" s="46">
        <f>'Kalkulace a Porovnání'!G577</f>
        <v>0</v>
      </c>
      <c r="H577" s="98">
        <f>'Kalkulace a Porovnání'!H577</f>
        <v>0</v>
      </c>
      <c r="K577" s="9" t="s">
        <v>8</v>
      </c>
      <c r="L577" s="10" t="s">
        <v>9</v>
      </c>
      <c r="M577" s="11" t="s">
        <v>10</v>
      </c>
      <c r="N577" s="46">
        <f>'Kalkulace a Porovnání'!N577</f>
        <v>0</v>
      </c>
      <c r="O577" s="46">
        <f>'Kalkulace a Porovnání'!O577</f>
        <v>0</v>
      </c>
      <c r="P577" s="46">
        <f>'Kalkulace a Porovnání'!P577</f>
        <v>0</v>
      </c>
      <c r="Q577" s="98">
        <f>'Kalkulace a Porovnání'!Q577</f>
        <v>0</v>
      </c>
      <c r="T577" s="9" t="s">
        <v>8</v>
      </c>
      <c r="U577" s="10" t="s">
        <v>9</v>
      </c>
      <c r="V577" s="11" t="s">
        <v>10</v>
      </c>
      <c r="W577" s="46">
        <f>'Kalkulace a Porovnání'!W577</f>
        <v>0</v>
      </c>
      <c r="X577" s="46">
        <f>'Kalkulace a Porovnání'!X577</f>
        <v>0</v>
      </c>
      <c r="Y577" s="46">
        <f>'Kalkulace a Porovnání'!Y577</f>
        <v>0</v>
      </c>
      <c r="Z577" s="46">
        <f>'Kalkulace a Porovnání'!Z577</f>
        <v>0</v>
      </c>
      <c r="AA577" s="46">
        <f>'Kalkulace a Porovnání'!AA577</f>
        <v>0</v>
      </c>
      <c r="AB577" s="98">
        <f>'Kalkulace a Porovnání'!AB577</f>
        <v>0</v>
      </c>
      <c r="AC577" s="183"/>
      <c r="AD577" s="547"/>
      <c r="AG577" s="342"/>
      <c r="AH577" s="342"/>
      <c r="AI577" s="342"/>
      <c r="AJ577" s="342"/>
      <c r="AK577" s="547"/>
      <c r="AL577" s="183"/>
    </row>
    <row r="578" spans="2:38" x14ac:dyDescent="0.25">
      <c r="B578" s="12" t="s">
        <v>11</v>
      </c>
      <c r="C578" s="13" t="s">
        <v>12</v>
      </c>
      <c r="D578" s="3" t="s">
        <v>10</v>
      </c>
      <c r="E578" s="49">
        <f>'Kalkulace a Porovnání'!E578</f>
        <v>0</v>
      </c>
      <c r="F578" s="49">
        <f>'Kalkulace a Porovnání'!F578</f>
        <v>0</v>
      </c>
      <c r="G578" s="49">
        <f>'Kalkulace a Porovnání'!G578</f>
        <v>0</v>
      </c>
      <c r="H578" s="32">
        <f>'Kalkulace a Porovnání'!H578</f>
        <v>0</v>
      </c>
      <c r="K578" s="12" t="s">
        <v>11</v>
      </c>
      <c r="L578" s="13" t="s">
        <v>12</v>
      </c>
      <c r="M578" s="3" t="s">
        <v>10</v>
      </c>
      <c r="N578" s="49">
        <f>'Kalkulace a Porovnání'!N578</f>
        <v>0</v>
      </c>
      <c r="O578" s="49">
        <f>'Kalkulace a Porovnání'!O578</f>
        <v>0</v>
      </c>
      <c r="P578" s="49">
        <f>'Kalkulace a Porovnání'!P578</f>
        <v>0</v>
      </c>
      <c r="Q578" s="32">
        <f>'Kalkulace a Porovnání'!Q578</f>
        <v>0</v>
      </c>
      <c r="T578" s="12" t="s">
        <v>11</v>
      </c>
      <c r="U578" s="13" t="s">
        <v>12</v>
      </c>
      <c r="V578" s="3" t="s">
        <v>10</v>
      </c>
      <c r="W578" s="49">
        <f>'Kalkulace a Porovnání'!W578</f>
        <v>0</v>
      </c>
      <c r="X578" s="49">
        <f>'Kalkulace a Porovnání'!X578</f>
        <v>0</v>
      </c>
      <c r="Y578" s="49">
        <f>'Kalkulace a Porovnání'!Y578</f>
        <v>0</v>
      </c>
      <c r="Z578" s="49">
        <f>'Kalkulace a Porovnání'!Z578</f>
        <v>0</v>
      </c>
      <c r="AA578" s="49">
        <f>'Kalkulace a Porovnání'!AA578</f>
        <v>0</v>
      </c>
      <c r="AB578" s="32">
        <f>'Kalkulace a Porovnání'!AB578</f>
        <v>0</v>
      </c>
      <c r="AC578" s="183"/>
      <c r="AD578" s="547"/>
      <c r="AG578" s="342"/>
      <c r="AH578" s="342"/>
      <c r="AI578" s="342"/>
      <c r="AJ578" s="342"/>
      <c r="AK578" s="547"/>
      <c r="AL578" s="183"/>
    </row>
    <row r="579" spans="2:38" x14ac:dyDescent="0.25">
      <c r="B579" s="12" t="s">
        <v>13</v>
      </c>
      <c r="C579" s="12" t="s">
        <v>14</v>
      </c>
      <c r="D579" s="3" t="s">
        <v>10</v>
      </c>
      <c r="E579" s="49">
        <f>'Kalkulace a Porovnání'!E579</f>
        <v>0</v>
      </c>
      <c r="F579" s="49">
        <f>'Kalkulace a Porovnání'!F579</f>
        <v>0</v>
      </c>
      <c r="G579" s="49">
        <f>'Kalkulace a Porovnání'!G579</f>
        <v>0</v>
      </c>
      <c r="H579" s="32">
        <f>'Kalkulace a Porovnání'!H579</f>
        <v>0</v>
      </c>
      <c r="K579" s="12" t="s">
        <v>13</v>
      </c>
      <c r="L579" s="12" t="s">
        <v>14</v>
      </c>
      <c r="M579" s="3" t="s">
        <v>10</v>
      </c>
      <c r="N579" s="49">
        <f>'Kalkulace a Porovnání'!N579</f>
        <v>0</v>
      </c>
      <c r="O579" s="49">
        <f>'Kalkulace a Porovnání'!O579</f>
        <v>0</v>
      </c>
      <c r="P579" s="49">
        <f>'Kalkulace a Porovnání'!P579</f>
        <v>0</v>
      </c>
      <c r="Q579" s="32">
        <f>'Kalkulace a Porovnání'!Q579</f>
        <v>0</v>
      </c>
      <c r="T579" s="12" t="s">
        <v>13</v>
      </c>
      <c r="U579" s="12" t="s">
        <v>14</v>
      </c>
      <c r="V579" s="3" t="s">
        <v>10</v>
      </c>
      <c r="W579" s="49">
        <f>'Kalkulace a Porovnání'!W579</f>
        <v>0</v>
      </c>
      <c r="X579" s="49">
        <f>'Kalkulace a Porovnání'!X579</f>
        <v>0</v>
      </c>
      <c r="Y579" s="49">
        <f>'Kalkulace a Porovnání'!Y579</f>
        <v>0</v>
      </c>
      <c r="Z579" s="49">
        <f>'Kalkulace a Porovnání'!Z579</f>
        <v>0</v>
      </c>
      <c r="AA579" s="49">
        <f>'Kalkulace a Porovnání'!AA579</f>
        <v>0</v>
      </c>
      <c r="AB579" s="32">
        <f>'Kalkulace a Porovnání'!AB579</f>
        <v>0</v>
      </c>
      <c r="AC579" s="183"/>
      <c r="AD579" s="547"/>
      <c r="AG579" s="342"/>
      <c r="AH579" s="342"/>
      <c r="AI579" s="342"/>
      <c r="AJ579" s="342"/>
      <c r="AK579" s="547"/>
      <c r="AL579" s="183"/>
    </row>
    <row r="580" spans="2:38" x14ac:dyDescent="0.25">
      <c r="B580" s="12" t="s">
        <v>15</v>
      </c>
      <c r="C580" s="13" t="s">
        <v>16</v>
      </c>
      <c r="D580" s="3" t="s">
        <v>10</v>
      </c>
      <c r="E580" s="49">
        <f>'Kalkulace a Porovnání'!E580</f>
        <v>0</v>
      </c>
      <c r="F580" s="49">
        <f>'Kalkulace a Porovnání'!F580</f>
        <v>0</v>
      </c>
      <c r="G580" s="49">
        <f>'Kalkulace a Porovnání'!G580</f>
        <v>0</v>
      </c>
      <c r="H580" s="32">
        <f>'Kalkulace a Porovnání'!H580</f>
        <v>0</v>
      </c>
      <c r="K580" s="12" t="s">
        <v>15</v>
      </c>
      <c r="L580" s="13" t="s">
        <v>16</v>
      </c>
      <c r="M580" s="3" t="s">
        <v>10</v>
      </c>
      <c r="N580" s="49">
        <f>'Kalkulace a Porovnání'!N580</f>
        <v>0</v>
      </c>
      <c r="O580" s="49">
        <f>'Kalkulace a Porovnání'!O580</f>
        <v>0</v>
      </c>
      <c r="P580" s="49">
        <f>'Kalkulace a Porovnání'!P580</f>
        <v>0</v>
      </c>
      <c r="Q580" s="32">
        <f>'Kalkulace a Porovnání'!Q580</f>
        <v>0</v>
      </c>
      <c r="T580" s="12" t="s">
        <v>15</v>
      </c>
      <c r="U580" s="13" t="s">
        <v>16</v>
      </c>
      <c r="V580" s="3" t="s">
        <v>10</v>
      </c>
      <c r="W580" s="49">
        <f>'Kalkulace a Porovnání'!W580</f>
        <v>0</v>
      </c>
      <c r="X580" s="49">
        <f>'Kalkulace a Porovnání'!X580</f>
        <v>0</v>
      </c>
      <c r="Y580" s="49">
        <f>'Kalkulace a Porovnání'!Y580</f>
        <v>0</v>
      </c>
      <c r="Z580" s="49">
        <f>'Kalkulace a Porovnání'!Z580</f>
        <v>0</v>
      </c>
      <c r="AA580" s="49">
        <f>'Kalkulace a Porovnání'!AA580</f>
        <v>0</v>
      </c>
      <c r="AB580" s="32">
        <f>'Kalkulace a Porovnání'!AB580</f>
        <v>0</v>
      </c>
      <c r="AC580" s="183"/>
      <c r="AD580" s="547"/>
      <c r="AG580" s="342"/>
      <c r="AH580" s="342"/>
      <c r="AI580" s="342"/>
      <c r="AJ580" s="342"/>
      <c r="AK580" s="547"/>
      <c r="AL580" s="183"/>
    </row>
    <row r="581" spans="2:38" x14ac:dyDescent="0.25">
      <c r="B581" s="12" t="s">
        <v>17</v>
      </c>
      <c r="C581" s="13" t="s">
        <v>18</v>
      </c>
      <c r="D581" s="3" t="s">
        <v>10</v>
      </c>
      <c r="E581" s="49">
        <f>'Kalkulace a Porovnání'!E581</f>
        <v>0</v>
      </c>
      <c r="F581" s="49">
        <f>'Kalkulace a Porovnání'!F581</f>
        <v>0</v>
      </c>
      <c r="G581" s="49">
        <f>'Kalkulace a Porovnání'!G581</f>
        <v>0</v>
      </c>
      <c r="H581" s="32">
        <f>'Kalkulace a Porovnání'!H581</f>
        <v>0</v>
      </c>
      <c r="K581" s="12" t="s">
        <v>17</v>
      </c>
      <c r="L581" s="13" t="s">
        <v>18</v>
      </c>
      <c r="M581" s="3" t="s">
        <v>10</v>
      </c>
      <c r="N581" s="49">
        <f>'Kalkulace a Porovnání'!N581</f>
        <v>0</v>
      </c>
      <c r="O581" s="49">
        <f>'Kalkulace a Porovnání'!O581</f>
        <v>0</v>
      </c>
      <c r="P581" s="49">
        <f>'Kalkulace a Porovnání'!P581</f>
        <v>0</v>
      </c>
      <c r="Q581" s="32">
        <f>'Kalkulace a Porovnání'!Q581</f>
        <v>0</v>
      </c>
      <c r="T581" s="12" t="s">
        <v>17</v>
      </c>
      <c r="U581" s="13" t="s">
        <v>18</v>
      </c>
      <c r="V581" s="3" t="s">
        <v>10</v>
      </c>
      <c r="W581" s="49">
        <f>'Kalkulace a Porovnání'!W581</f>
        <v>0</v>
      </c>
      <c r="X581" s="49">
        <f>'Kalkulace a Porovnání'!X581</f>
        <v>0</v>
      </c>
      <c r="Y581" s="49">
        <f>'Kalkulace a Porovnání'!Y581</f>
        <v>0</v>
      </c>
      <c r="Z581" s="49">
        <f>'Kalkulace a Porovnání'!Z581</f>
        <v>0</v>
      </c>
      <c r="AA581" s="49">
        <f>'Kalkulace a Porovnání'!AA581</f>
        <v>0</v>
      </c>
      <c r="AB581" s="32">
        <f>'Kalkulace a Porovnání'!AB581</f>
        <v>0</v>
      </c>
      <c r="AC581" s="183"/>
      <c r="AD581" s="547"/>
      <c r="AG581" s="342"/>
      <c r="AH581" s="342"/>
      <c r="AI581" s="342"/>
      <c r="AJ581" s="342"/>
      <c r="AK581" s="547"/>
      <c r="AL581" s="183"/>
    </row>
    <row r="582" spans="2:38" x14ac:dyDescent="0.25">
      <c r="B582" s="9" t="s">
        <v>19</v>
      </c>
      <c r="C582" s="10" t="s">
        <v>20</v>
      </c>
      <c r="D582" s="11" t="s">
        <v>10</v>
      </c>
      <c r="E582" s="46">
        <f>'Kalkulace a Porovnání'!E582</f>
        <v>0</v>
      </c>
      <c r="F582" s="46">
        <f>'Kalkulace a Porovnání'!F582</f>
        <v>0</v>
      </c>
      <c r="G582" s="46">
        <f>'Kalkulace a Porovnání'!G582</f>
        <v>0</v>
      </c>
      <c r="H582" s="98">
        <f>'Kalkulace a Porovnání'!H582</f>
        <v>0</v>
      </c>
      <c r="K582" s="9" t="s">
        <v>19</v>
      </c>
      <c r="L582" s="10" t="s">
        <v>20</v>
      </c>
      <c r="M582" s="11" t="s">
        <v>10</v>
      </c>
      <c r="N582" s="46">
        <f>'Kalkulace a Porovnání'!N582</f>
        <v>0</v>
      </c>
      <c r="O582" s="46">
        <f>'Kalkulace a Porovnání'!O582</f>
        <v>0</v>
      </c>
      <c r="P582" s="46">
        <f>'Kalkulace a Porovnání'!P582</f>
        <v>0</v>
      </c>
      <c r="Q582" s="98">
        <f>'Kalkulace a Porovnání'!Q582</f>
        <v>0</v>
      </c>
      <c r="T582" s="9" t="s">
        <v>19</v>
      </c>
      <c r="U582" s="10" t="s">
        <v>20</v>
      </c>
      <c r="V582" s="11" t="s">
        <v>10</v>
      </c>
      <c r="W582" s="46">
        <f>'Kalkulace a Porovnání'!W582</f>
        <v>0</v>
      </c>
      <c r="X582" s="46">
        <f>'Kalkulace a Porovnání'!X582</f>
        <v>0</v>
      </c>
      <c r="Y582" s="46">
        <f>'Kalkulace a Porovnání'!Y582</f>
        <v>0</v>
      </c>
      <c r="Z582" s="46">
        <f>'Kalkulace a Porovnání'!Z582</f>
        <v>0</v>
      </c>
      <c r="AA582" s="46">
        <f>'Kalkulace a Porovnání'!AA582</f>
        <v>0</v>
      </c>
      <c r="AB582" s="98">
        <f>'Kalkulace a Porovnání'!AB582</f>
        <v>0</v>
      </c>
      <c r="AC582" s="183"/>
      <c r="AD582" s="547"/>
      <c r="AG582" s="342"/>
      <c r="AH582" s="342"/>
      <c r="AI582" s="342"/>
      <c r="AJ582" s="342"/>
      <c r="AK582" s="547"/>
      <c r="AL582" s="183"/>
    </row>
    <row r="583" spans="2:38" x14ac:dyDescent="0.25">
      <c r="B583" s="12" t="s">
        <v>21</v>
      </c>
      <c r="C583" s="12" t="s">
        <v>22</v>
      </c>
      <c r="D583" s="3" t="s">
        <v>10</v>
      </c>
      <c r="E583" s="49">
        <f>'Kalkulace a Porovnání'!E583</f>
        <v>0</v>
      </c>
      <c r="F583" s="49">
        <f>'Kalkulace a Porovnání'!F583</f>
        <v>0</v>
      </c>
      <c r="G583" s="49">
        <f>'Kalkulace a Porovnání'!G583</f>
        <v>0</v>
      </c>
      <c r="H583" s="32">
        <f>'Kalkulace a Porovnání'!H583</f>
        <v>0</v>
      </c>
      <c r="K583" s="12" t="s">
        <v>21</v>
      </c>
      <c r="L583" s="12" t="s">
        <v>22</v>
      </c>
      <c r="M583" s="3" t="s">
        <v>10</v>
      </c>
      <c r="N583" s="49">
        <f>'Kalkulace a Porovnání'!N583</f>
        <v>0</v>
      </c>
      <c r="O583" s="49">
        <f>'Kalkulace a Porovnání'!O583</f>
        <v>0</v>
      </c>
      <c r="P583" s="49">
        <f>'Kalkulace a Porovnání'!P583</f>
        <v>0</v>
      </c>
      <c r="Q583" s="32">
        <f>'Kalkulace a Porovnání'!Q583</f>
        <v>0</v>
      </c>
      <c r="T583" s="12" t="s">
        <v>21</v>
      </c>
      <c r="U583" s="12" t="s">
        <v>22</v>
      </c>
      <c r="V583" s="3" t="s">
        <v>10</v>
      </c>
      <c r="W583" s="49">
        <f>'Kalkulace a Porovnání'!W583</f>
        <v>0</v>
      </c>
      <c r="X583" s="49">
        <f>'Kalkulace a Porovnání'!X583</f>
        <v>0</v>
      </c>
      <c r="Y583" s="49">
        <f>'Kalkulace a Porovnání'!Y583</f>
        <v>0</v>
      </c>
      <c r="Z583" s="49">
        <f>'Kalkulace a Porovnání'!Z583</f>
        <v>0</v>
      </c>
      <c r="AA583" s="49">
        <f>'Kalkulace a Porovnání'!AA583</f>
        <v>0</v>
      </c>
      <c r="AB583" s="32">
        <f>'Kalkulace a Porovnání'!AB583</f>
        <v>0</v>
      </c>
      <c r="AC583" s="183"/>
      <c r="AD583" s="547"/>
      <c r="AG583" s="342"/>
      <c r="AH583" s="342"/>
      <c r="AI583" s="342"/>
      <c r="AJ583" s="342"/>
      <c r="AK583" s="547"/>
      <c r="AL583" s="183"/>
    </row>
    <row r="584" spans="2:38" x14ac:dyDescent="0.25">
      <c r="B584" s="12" t="s">
        <v>23</v>
      </c>
      <c r="C584" s="12" t="s">
        <v>24</v>
      </c>
      <c r="D584" s="3" t="s">
        <v>10</v>
      </c>
      <c r="E584" s="49">
        <f>'Kalkulace a Porovnání'!E584</f>
        <v>0</v>
      </c>
      <c r="F584" s="49">
        <f>'Kalkulace a Porovnání'!F584</f>
        <v>0</v>
      </c>
      <c r="G584" s="49">
        <f>'Kalkulace a Porovnání'!G584</f>
        <v>0</v>
      </c>
      <c r="H584" s="32">
        <f>'Kalkulace a Porovnání'!H584</f>
        <v>0</v>
      </c>
      <c r="K584" s="12" t="s">
        <v>23</v>
      </c>
      <c r="L584" s="12" t="s">
        <v>24</v>
      </c>
      <c r="M584" s="3" t="s">
        <v>10</v>
      </c>
      <c r="N584" s="49">
        <f>'Kalkulace a Porovnání'!N584</f>
        <v>0</v>
      </c>
      <c r="O584" s="49">
        <f>'Kalkulace a Porovnání'!O584</f>
        <v>0</v>
      </c>
      <c r="P584" s="49">
        <f>'Kalkulace a Porovnání'!P584</f>
        <v>0</v>
      </c>
      <c r="Q584" s="32">
        <f>'Kalkulace a Porovnání'!Q584</f>
        <v>0</v>
      </c>
      <c r="T584" s="12" t="s">
        <v>23</v>
      </c>
      <c r="U584" s="12" t="s">
        <v>24</v>
      </c>
      <c r="V584" s="3" t="s">
        <v>10</v>
      </c>
      <c r="W584" s="49">
        <f>'Kalkulace a Porovnání'!W584</f>
        <v>0</v>
      </c>
      <c r="X584" s="49">
        <f>'Kalkulace a Porovnání'!X584</f>
        <v>0</v>
      </c>
      <c r="Y584" s="49">
        <f>'Kalkulace a Porovnání'!Y584</f>
        <v>0</v>
      </c>
      <c r="Z584" s="49">
        <f>'Kalkulace a Porovnání'!Z584</f>
        <v>0</v>
      </c>
      <c r="AA584" s="49">
        <f>'Kalkulace a Porovnání'!AA584</f>
        <v>0</v>
      </c>
      <c r="AB584" s="32">
        <f>'Kalkulace a Porovnání'!AB584</f>
        <v>0</v>
      </c>
      <c r="AC584" s="183"/>
      <c r="AD584" s="547"/>
      <c r="AG584" s="342"/>
      <c r="AH584" s="342"/>
      <c r="AI584" s="342"/>
      <c r="AJ584" s="342"/>
      <c r="AK584" s="547"/>
      <c r="AL584" s="183"/>
    </row>
    <row r="585" spans="2:38" x14ac:dyDescent="0.25">
      <c r="B585" s="9" t="s">
        <v>25</v>
      </c>
      <c r="C585" s="10" t="s">
        <v>26</v>
      </c>
      <c r="D585" s="11" t="s">
        <v>10</v>
      </c>
      <c r="E585" s="46">
        <f>'Kalkulace a Porovnání'!E585</f>
        <v>0</v>
      </c>
      <c r="F585" s="46">
        <f>'Kalkulace a Porovnání'!F585</f>
        <v>0</v>
      </c>
      <c r="G585" s="46">
        <f>'Kalkulace a Porovnání'!G585</f>
        <v>0</v>
      </c>
      <c r="H585" s="98">
        <f>'Kalkulace a Porovnání'!H585</f>
        <v>0</v>
      </c>
      <c r="K585" s="9" t="s">
        <v>25</v>
      </c>
      <c r="L585" s="10" t="s">
        <v>26</v>
      </c>
      <c r="M585" s="11" t="s">
        <v>10</v>
      </c>
      <c r="N585" s="46">
        <f>'Kalkulace a Porovnání'!N585</f>
        <v>0</v>
      </c>
      <c r="O585" s="46">
        <f>'Kalkulace a Porovnání'!O585</f>
        <v>0</v>
      </c>
      <c r="P585" s="46">
        <f>'Kalkulace a Porovnání'!P585</f>
        <v>0</v>
      </c>
      <c r="Q585" s="98">
        <f>'Kalkulace a Porovnání'!Q585</f>
        <v>0</v>
      </c>
      <c r="T585" s="9" t="s">
        <v>25</v>
      </c>
      <c r="U585" s="10" t="s">
        <v>26</v>
      </c>
      <c r="V585" s="11" t="s">
        <v>10</v>
      </c>
      <c r="W585" s="46">
        <f>'Kalkulace a Porovnání'!W585</f>
        <v>0</v>
      </c>
      <c r="X585" s="46">
        <f>'Kalkulace a Porovnání'!X585</f>
        <v>0</v>
      </c>
      <c r="Y585" s="46">
        <f>'Kalkulace a Porovnání'!Y585</f>
        <v>0</v>
      </c>
      <c r="Z585" s="46">
        <f>'Kalkulace a Porovnání'!Z585</f>
        <v>0</v>
      </c>
      <c r="AA585" s="46">
        <f>'Kalkulace a Porovnání'!AA585</f>
        <v>0</v>
      </c>
      <c r="AB585" s="98">
        <f>'Kalkulace a Porovnání'!AB585</f>
        <v>0</v>
      </c>
      <c r="AC585" s="183"/>
      <c r="AD585" s="547"/>
      <c r="AG585" s="342"/>
      <c r="AH585" s="342"/>
      <c r="AI585" s="342"/>
      <c r="AJ585" s="342"/>
      <c r="AK585" s="547"/>
      <c r="AL585" s="183"/>
    </row>
    <row r="586" spans="2:38" x14ac:dyDescent="0.25">
      <c r="B586" s="12" t="s">
        <v>27</v>
      </c>
      <c r="C586" s="13" t="s">
        <v>28</v>
      </c>
      <c r="D586" s="3" t="s">
        <v>10</v>
      </c>
      <c r="E586" s="49">
        <f>'Kalkulace a Porovnání'!E586</f>
        <v>0</v>
      </c>
      <c r="F586" s="49">
        <f>'Kalkulace a Porovnání'!F586</f>
        <v>0</v>
      </c>
      <c r="G586" s="49">
        <f>'Kalkulace a Porovnání'!G586</f>
        <v>0</v>
      </c>
      <c r="H586" s="32">
        <f>'Kalkulace a Porovnání'!H586</f>
        <v>0</v>
      </c>
      <c r="K586" s="12" t="s">
        <v>27</v>
      </c>
      <c r="L586" s="13" t="s">
        <v>28</v>
      </c>
      <c r="M586" s="3" t="s">
        <v>10</v>
      </c>
      <c r="N586" s="49">
        <f>'Kalkulace a Porovnání'!N586</f>
        <v>0</v>
      </c>
      <c r="O586" s="49">
        <f>'Kalkulace a Porovnání'!O586</f>
        <v>0</v>
      </c>
      <c r="P586" s="49">
        <f>'Kalkulace a Porovnání'!P586</f>
        <v>0</v>
      </c>
      <c r="Q586" s="32">
        <f>'Kalkulace a Porovnání'!Q586</f>
        <v>0</v>
      </c>
      <c r="T586" s="12" t="s">
        <v>27</v>
      </c>
      <c r="U586" s="13" t="s">
        <v>28</v>
      </c>
      <c r="V586" s="3" t="s">
        <v>10</v>
      </c>
      <c r="W586" s="49">
        <f>'Kalkulace a Porovnání'!W586</f>
        <v>0</v>
      </c>
      <c r="X586" s="49">
        <f>'Kalkulace a Porovnání'!X586</f>
        <v>0</v>
      </c>
      <c r="Y586" s="49">
        <f>'Kalkulace a Porovnání'!Y586</f>
        <v>0</v>
      </c>
      <c r="Z586" s="49">
        <f>'Kalkulace a Porovnání'!Z586</f>
        <v>0</v>
      </c>
      <c r="AA586" s="49">
        <f>'Kalkulace a Porovnání'!AA586</f>
        <v>0</v>
      </c>
      <c r="AB586" s="32">
        <f>'Kalkulace a Porovnání'!AB586</f>
        <v>0</v>
      </c>
      <c r="AC586" s="183"/>
      <c r="AD586" s="547"/>
      <c r="AG586" s="342"/>
      <c r="AH586" s="342"/>
      <c r="AI586" s="342"/>
      <c r="AJ586" s="342"/>
      <c r="AK586" s="547"/>
      <c r="AL586" s="183"/>
    </row>
    <row r="587" spans="2:38" x14ac:dyDescent="0.25">
      <c r="B587" s="12" t="s">
        <v>29</v>
      </c>
      <c r="C587" s="13" t="s">
        <v>30</v>
      </c>
      <c r="D587" s="3" t="s">
        <v>10</v>
      </c>
      <c r="E587" s="49">
        <f>'Kalkulace a Porovnání'!E587</f>
        <v>0</v>
      </c>
      <c r="F587" s="49">
        <f>'Kalkulace a Porovnání'!F587</f>
        <v>0</v>
      </c>
      <c r="G587" s="49">
        <f>'Kalkulace a Porovnání'!G587</f>
        <v>0</v>
      </c>
      <c r="H587" s="32">
        <f>'Kalkulace a Porovnání'!H587</f>
        <v>0</v>
      </c>
      <c r="K587" s="12" t="s">
        <v>29</v>
      </c>
      <c r="L587" s="13" t="s">
        <v>30</v>
      </c>
      <c r="M587" s="3" t="s">
        <v>10</v>
      </c>
      <c r="N587" s="49">
        <f>'Kalkulace a Porovnání'!N587</f>
        <v>0</v>
      </c>
      <c r="O587" s="49">
        <f>'Kalkulace a Porovnání'!O587</f>
        <v>0</v>
      </c>
      <c r="P587" s="49">
        <f>'Kalkulace a Porovnání'!P587</f>
        <v>0</v>
      </c>
      <c r="Q587" s="32">
        <f>'Kalkulace a Porovnání'!Q587</f>
        <v>0</v>
      </c>
      <c r="T587" s="12" t="s">
        <v>29</v>
      </c>
      <c r="U587" s="13" t="s">
        <v>30</v>
      </c>
      <c r="V587" s="3" t="s">
        <v>10</v>
      </c>
      <c r="W587" s="49">
        <f>'Kalkulace a Porovnání'!W587</f>
        <v>0</v>
      </c>
      <c r="X587" s="49">
        <f>'Kalkulace a Porovnání'!X587</f>
        <v>0</v>
      </c>
      <c r="Y587" s="49">
        <f>'Kalkulace a Porovnání'!Y587</f>
        <v>0</v>
      </c>
      <c r="Z587" s="49">
        <f>'Kalkulace a Porovnání'!Z587</f>
        <v>0</v>
      </c>
      <c r="AA587" s="49">
        <f>'Kalkulace a Porovnání'!AA587</f>
        <v>0</v>
      </c>
      <c r="AB587" s="32">
        <f>'Kalkulace a Porovnání'!AB587</f>
        <v>0</v>
      </c>
      <c r="AC587" s="183"/>
      <c r="AD587" s="547"/>
      <c r="AG587" s="342"/>
      <c r="AH587" s="342"/>
      <c r="AI587" s="342"/>
      <c r="AJ587" s="342"/>
      <c r="AK587" s="547"/>
      <c r="AL587" s="183"/>
    </row>
    <row r="588" spans="2:38" x14ac:dyDescent="0.25">
      <c r="B588" s="9" t="s">
        <v>31</v>
      </c>
      <c r="C588" s="10" t="s">
        <v>32</v>
      </c>
      <c r="D588" s="11" t="s">
        <v>10</v>
      </c>
      <c r="E588" s="46">
        <f>'Kalkulace a Porovnání'!E588</f>
        <v>0</v>
      </c>
      <c r="F588" s="46">
        <f>'Kalkulace a Porovnání'!F588</f>
        <v>0</v>
      </c>
      <c r="G588" s="46">
        <f>'Kalkulace a Porovnání'!G588</f>
        <v>0</v>
      </c>
      <c r="H588" s="98">
        <f>'Kalkulace a Porovnání'!H588</f>
        <v>0</v>
      </c>
      <c r="K588" s="9" t="s">
        <v>31</v>
      </c>
      <c r="L588" s="10" t="s">
        <v>32</v>
      </c>
      <c r="M588" s="11" t="s">
        <v>10</v>
      </c>
      <c r="N588" s="46">
        <f>'Kalkulace a Porovnání'!N588</f>
        <v>0</v>
      </c>
      <c r="O588" s="46">
        <f>'Kalkulace a Porovnání'!O588</f>
        <v>0</v>
      </c>
      <c r="P588" s="46">
        <f>'Kalkulace a Porovnání'!P588</f>
        <v>0</v>
      </c>
      <c r="Q588" s="98">
        <f>'Kalkulace a Porovnání'!Q588</f>
        <v>0</v>
      </c>
      <c r="T588" s="9" t="s">
        <v>31</v>
      </c>
      <c r="U588" s="10" t="s">
        <v>32</v>
      </c>
      <c r="V588" s="11" t="s">
        <v>10</v>
      </c>
      <c r="W588" s="46">
        <f>'Kalkulace a Porovnání'!W588</f>
        <v>0</v>
      </c>
      <c r="X588" s="46">
        <f>'Kalkulace a Porovnání'!X588</f>
        <v>0</v>
      </c>
      <c r="Y588" s="46">
        <f>'Kalkulace a Porovnání'!Y588</f>
        <v>0</v>
      </c>
      <c r="Z588" s="46">
        <f>'Kalkulace a Porovnání'!Z588</f>
        <v>0</v>
      </c>
      <c r="AA588" s="46">
        <f>'Kalkulace a Porovnání'!AA588</f>
        <v>0</v>
      </c>
      <c r="AB588" s="98">
        <f>'Kalkulace a Porovnání'!AB588</f>
        <v>0</v>
      </c>
      <c r="AC588" s="183"/>
      <c r="AD588" s="547"/>
      <c r="AG588" s="342"/>
      <c r="AH588" s="342"/>
      <c r="AI588" s="342"/>
      <c r="AJ588" s="342"/>
      <c r="AK588" s="547"/>
      <c r="AL588" s="183"/>
    </row>
    <row r="589" spans="2:38" x14ac:dyDescent="0.25">
      <c r="B589" s="12" t="s">
        <v>33</v>
      </c>
      <c r="C589" s="21" t="s">
        <v>34</v>
      </c>
      <c r="D589" s="3" t="s">
        <v>10</v>
      </c>
      <c r="E589" s="49">
        <f>'Kalkulace a Porovnání'!E589</f>
        <v>0</v>
      </c>
      <c r="F589" s="49">
        <f>'Kalkulace a Porovnání'!F589</f>
        <v>0</v>
      </c>
      <c r="G589" s="49">
        <f>'Kalkulace a Porovnání'!G589</f>
        <v>0</v>
      </c>
      <c r="H589" s="32">
        <f>'Kalkulace a Porovnání'!H589</f>
        <v>0</v>
      </c>
      <c r="K589" s="12" t="s">
        <v>33</v>
      </c>
      <c r="L589" s="21" t="s">
        <v>34</v>
      </c>
      <c r="M589" s="3" t="s">
        <v>10</v>
      </c>
      <c r="N589" s="49">
        <f>'Kalkulace a Porovnání'!N589</f>
        <v>0</v>
      </c>
      <c r="O589" s="49">
        <f>'Kalkulace a Porovnání'!O589</f>
        <v>0</v>
      </c>
      <c r="P589" s="49">
        <f>'Kalkulace a Porovnání'!P589</f>
        <v>0</v>
      </c>
      <c r="Q589" s="32">
        <f>'Kalkulace a Porovnání'!Q589</f>
        <v>0</v>
      </c>
      <c r="T589" s="12" t="s">
        <v>33</v>
      </c>
      <c r="U589" s="21" t="s">
        <v>34</v>
      </c>
      <c r="V589" s="3" t="s">
        <v>10</v>
      </c>
      <c r="W589" s="49">
        <f>'Kalkulace a Porovnání'!W589</f>
        <v>0</v>
      </c>
      <c r="X589" s="49">
        <f>'Kalkulace a Porovnání'!X589</f>
        <v>0</v>
      </c>
      <c r="Y589" s="49">
        <f>'Kalkulace a Porovnání'!Y589</f>
        <v>0</v>
      </c>
      <c r="Z589" s="49">
        <f>'Kalkulace a Porovnání'!Z589</f>
        <v>0</v>
      </c>
      <c r="AA589" s="49">
        <f>'Kalkulace a Porovnání'!AA589</f>
        <v>0</v>
      </c>
      <c r="AB589" s="32">
        <f>'Kalkulace a Porovnání'!AB589</f>
        <v>0</v>
      </c>
      <c r="AC589" s="183"/>
      <c r="AD589" s="547"/>
      <c r="AG589" s="547"/>
      <c r="AH589" s="547"/>
      <c r="AI589" s="342"/>
      <c r="AJ589" s="342"/>
      <c r="AK589" s="547"/>
      <c r="AL589" s="183"/>
    </row>
    <row r="590" spans="2:38" x14ac:dyDescent="0.25">
      <c r="B590" s="12" t="s">
        <v>35</v>
      </c>
      <c r="C590" s="13" t="s">
        <v>36</v>
      </c>
      <c r="D590" s="3" t="s">
        <v>10</v>
      </c>
      <c r="E590" s="49">
        <f>'Kalkulace a Porovnání'!E590</f>
        <v>0</v>
      </c>
      <c r="F590" s="49">
        <f>'Kalkulace a Porovnání'!F590</f>
        <v>0</v>
      </c>
      <c r="G590" s="49">
        <f>'Kalkulace a Porovnání'!G590</f>
        <v>0</v>
      </c>
      <c r="H590" s="32">
        <f>'Kalkulace a Porovnání'!H590</f>
        <v>0</v>
      </c>
      <c r="K590" s="12" t="s">
        <v>35</v>
      </c>
      <c r="L590" s="13" t="s">
        <v>36</v>
      </c>
      <c r="M590" s="3" t="s">
        <v>10</v>
      </c>
      <c r="N590" s="49">
        <f>'Kalkulace a Porovnání'!N590</f>
        <v>0</v>
      </c>
      <c r="O590" s="49">
        <f>'Kalkulace a Porovnání'!O590</f>
        <v>0</v>
      </c>
      <c r="P590" s="49">
        <f>'Kalkulace a Porovnání'!P590</f>
        <v>0</v>
      </c>
      <c r="Q590" s="32">
        <f>'Kalkulace a Porovnání'!Q590</f>
        <v>0</v>
      </c>
      <c r="T590" s="12" t="s">
        <v>35</v>
      </c>
      <c r="U590" s="13" t="s">
        <v>36</v>
      </c>
      <c r="V590" s="3" t="s">
        <v>10</v>
      </c>
      <c r="W590" s="49">
        <f>'Kalkulace a Porovnání'!W590</f>
        <v>0</v>
      </c>
      <c r="X590" s="49">
        <f>'Kalkulace a Porovnání'!X590</f>
        <v>0</v>
      </c>
      <c r="Y590" s="49">
        <f>'Kalkulace a Porovnání'!Y590</f>
        <v>0</v>
      </c>
      <c r="Z590" s="49">
        <f>'Kalkulace a Porovnání'!Z590</f>
        <v>0</v>
      </c>
      <c r="AA590" s="49">
        <f>'Kalkulace a Porovnání'!AA590</f>
        <v>0</v>
      </c>
      <c r="AB590" s="32">
        <f>'Kalkulace a Porovnání'!AB590</f>
        <v>0</v>
      </c>
      <c r="AC590" s="183"/>
      <c r="AD590" s="547"/>
      <c r="AG590" s="547"/>
      <c r="AH590" s="547"/>
      <c r="AI590" s="342"/>
      <c r="AJ590" s="342"/>
      <c r="AK590" s="547"/>
      <c r="AL590" s="183"/>
    </row>
    <row r="591" spans="2:38" x14ac:dyDescent="0.25">
      <c r="B591" s="12" t="s">
        <v>37</v>
      </c>
      <c r="C591" s="13" t="s">
        <v>38</v>
      </c>
      <c r="D591" s="3" t="s">
        <v>10</v>
      </c>
      <c r="E591" s="49">
        <f>'Kalkulace a Porovnání'!E591</f>
        <v>0</v>
      </c>
      <c r="F591" s="49">
        <f>'Kalkulace a Porovnání'!F591</f>
        <v>0</v>
      </c>
      <c r="G591" s="49">
        <f>'Kalkulace a Porovnání'!G591</f>
        <v>0</v>
      </c>
      <c r="H591" s="32">
        <f>'Kalkulace a Porovnání'!H591</f>
        <v>0</v>
      </c>
      <c r="K591" s="12" t="s">
        <v>37</v>
      </c>
      <c r="L591" s="13" t="s">
        <v>38</v>
      </c>
      <c r="M591" s="3" t="s">
        <v>10</v>
      </c>
      <c r="N591" s="49">
        <f>'Kalkulace a Porovnání'!N591</f>
        <v>0</v>
      </c>
      <c r="O591" s="49">
        <f>'Kalkulace a Porovnání'!O591</f>
        <v>0</v>
      </c>
      <c r="P591" s="49">
        <f>'Kalkulace a Porovnání'!P591</f>
        <v>0</v>
      </c>
      <c r="Q591" s="32">
        <f>'Kalkulace a Porovnání'!Q591</f>
        <v>0</v>
      </c>
      <c r="T591" s="12" t="s">
        <v>37</v>
      </c>
      <c r="U591" s="13" t="s">
        <v>38</v>
      </c>
      <c r="V591" s="3" t="s">
        <v>10</v>
      </c>
      <c r="W591" s="49">
        <f>'Kalkulace a Porovnání'!W591</f>
        <v>0</v>
      </c>
      <c r="X591" s="49">
        <f>'Kalkulace a Porovnání'!X591</f>
        <v>0</v>
      </c>
      <c r="Y591" s="49">
        <f>'Kalkulace a Porovnání'!Y591</f>
        <v>0</v>
      </c>
      <c r="Z591" s="49">
        <f>'Kalkulace a Porovnání'!Z591</f>
        <v>0</v>
      </c>
      <c r="AA591" s="49">
        <f>'Kalkulace a Porovnání'!AA591</f>
        <v>0</v>
      </c>
      <c r="AB591" s="32">
        <f>'Kalkulace a Porovnání'!AB591</f>
        <v>0</v>
      </c>
      <c r="AC591" s="183"/>
      <c r="AD591" s="547"/>
      <c r="AG591" s="342"/>
      <c r="AH591" s="342"/>
      <c r="AI591" s="342"/>
      <c r="AJ591" s="342"/>
      <c r="AK591" s="547"/>
      <c r="AL591" s="183"/>
    </row>
    <row r="592" spans="2:38" x14ac:dyDescent="0.25">
      <c r="B592" s="12" t="s">
        <v>39</v>
      </c>
      <c r="C592" s="21" t="s">
        <v>40</v>
      </c>
      <c r="D592" s="3" t="s">
        <v>10</v>
      </c>
      <c r="E592" s="49">
        <f>'Kalkulace a Porovnání'!E592</f>
        <v>0</v>
      </c>
      <c r="F592" s="49">
        <f>'Kalkulace a Porovnání'!F592</f>
        <v>0</v>
      </c>
      <c r="G592" s="49">
        <f>'Kalkulace a Porovnání'!G592</f>
        <v>0</v>
      </c>
      <c r="H592" s="32">
        <f>'Kalkulace a Porovnání'!H592</f>
        <v>0</v>
      </c>
      <c r="K592" s="12" t="s">
        <v>39</v>
      </c>
      <c r="L592" s="21" t="s">
        <v>40</v>
      </c>
      <c r="M592" s="3" t="s">
        <v>10</v>
      </c>
      <c r="N592" s="49">
        <f>'Kalkulace a Porovnání'!N592</f>
        <v>0</v>
      </c>
      <c r="O592" s="49">
        <f>'Kalkulace a Porovnání'!O592</f>
        <v>0</v>
      </c>
      <c r="P592" s="49">
        <f>'Kalkulace a Porovnání'!P592</f>
        <v>0</v>
      </c>
      <c r="Q592" s="32">
        <f>'Kalkulace a Porovnání'!Q592</f>
        <v>0</v>
      </c>
      <c r="T592" s="12" t="s">
        <v>39</v>
      </c>
      <c r="U592" s="21" t="s">
        <v>40</v>
      </c>
      <c r="V592" s="3" t="s">
        <v>10</v>
      </c>
      <c r="W592" s="49">
        <f>'Kalkulace a Porovnání'!W592</f>
        <v>0</v>
      </c>
      <c r="X592" s="49">
        <f>'Kalkulace a Porovnání'!X592</f>
        <v>0</v>
      </c>
      <c r="Y592" s="49">
        <f>'Kalkulace a Porovnání'!Y592</f>
        <v>0</v>
      </c>
      <c r="Z592" s="49">
        <f>'Kalkulace a Porovnání'!Z592</f>
        <v>0</v>
      </c>
      <c r="AA592" s="49">
        <f>'Kalkulace a Porovnání'!AA592</f>
        <v>0</v>
      </c>
      <c r="AB592" s="32">
        <f>'Kalkulace a Porovnání'!AB592</f>
        <v>0</v>
      </c>
      <c r="AC592" s="183"/>
      <c r="AD592" s="547"/>
      <c r="AG592" s="342"/>
      <c r="AH592" s="342"/>
      <c r="AI592" s="342"/>
      <c r="AJ592" s="342"/>
      <c r="AK592" s="547"/>
      <c r="AL592" s="183"/>
    </row>
    <row r="593" spans="2:38" x14ac:dyDescent="0.25">
      <c r="B593" s="9" t="s">
        <v>41</v>
      </c>
      <c r="C593" s="10" t="s">
        <v>42</v>
      </c>
      <c r="D593" s="11" t="s">
        <v>10</v>
      </c>
      <c r="E593" s="46">
        <f>'Kalkulace a Porovnání'!E593</f>
        <v>0</v>
      </c>
      <c r="F593" s="46">
        <f>'Kalkulace a Porovnání'!F593</f>
        <v>0</v>
      </c>
      <c r="G593" s="46">
        <f>'Kalkulace a Porovnání'!G593</f>
        <v>0</v>
      </c>
      <c r="H593" s="98">
        <f>'Kalkulace a Porovnání'!H593</f>
        <v>0</v>
      </c>
      <c r="K593" s="9" t="s">
        <v>41</v>
      </c>
      <c r="L593" s="10" t="s">
        <v>42</v>
      </c>
      <c r="M593" s="11" t="s">
        <v>10</v>
      </c>
      <c r="N593" s="46">
        <f>'Kalkulace a Porovnání'!N593</f>
        <v>0</v>
      </c>
      <c r="O593" s="46">
        <f>'Kalkulace a Porovnání'!O593</f>
        <v>0</v>
      </c>
      <c r="P593" s="46">
        <f>'Kalkulace a Porovnání'!P593</f>
        <v>0</v>
      </c>
      <c r="Q593" s="98">
        <f>'Kalkulace a Porovnání'!Q593</f>
        <v>0</v>
      </c>
      <c r="T593" s="9" t="s">
        <v>41</v>
      </c>
      <c r="U593" s="10" t="s">
        <v>42</v>
      </c>
      <c r="V593" s="11" t="s">
        <v>10</v>
      </c>
      <c r="W593" s="46">
        <f>'Kalkulace a Porovnání'!W593</f>
        <v>0</v>
      </c>
      <c r="X593" s="46">
        <f>'Kalkulace a Porovnání'!X593</f>
        <v>0</v>
      </c>
      <c r="Y593" s="46">
        <f>'Kalkulace a Porovnání'!Y593</f>
        <v>0</v>
      </c>
      <c r="Z593" s="46">
        <f>'Kalkulace a Porovnání'!Z593</f>
        <v>0</v>
      </c>
      <c r="AA593" s="46">
        <f>'Kalkulace a Porovnání'!AA593</f>
        <v>0</v>
      </c>
      <c r="AB593" s="98">
        <f>'Kalkulace a Porovnání'!AB593</f>
        <v>0</v>
      </c>
      <c r="AC593" s="183"/>
      <c r="AD593" s="547"/>
      <c r="AG593" s="548"/>
      <c r="AH593" s="548"/>
      <c r="AI593" s="342"/>
      <c r="AJ593" s="342"/>
      <c r="AK593" s="547"/>
      <c r="AL593" s="183"/>
    </row>
    <row r="594" spans="2:38" x14ac:dyDescent="0.25">
      <c r="B594" s="12" t="s">
        <v>43</v>
      </c>
      <c r="C594" s="13" t="s">
        <v>44</v>
      </c>
      <c r="D594" s="3" t="s">
        <v>10</v>
      </c>
      <c r="E594" s="49">
        <f>'Kalkulace a Porovnání'!E594</f>
        <v>0</v>
      </c>
      <c r="F594" s="49">
        <f>'Kalkulace a Porovnání'!F594</f>
        <v>0</v>
      </c>
      <c r="G594" s="49">
        <f>'Kalkulace a Porovnání'!G594</f>
        <v>0</v>
      </c>
      <c r="H594" s="32">
        <f>'Kalkulace a Porovnání'!H594</f>
        <v>0</v>
      </c>
      <c r="K594" s="12" t="s">
        <v>43</v>
      </c>
      <c r="L594" s="13" t="s">
        <v>44</v>
      </c>
      <c r="M594" s="3" t="s">
        <v>10</v>
      </c>
      <c r="N594" s="49">
        <f>'Kalkulace a Porovnání'!N594</f>
        <v>0</v>
      </c>
      <c r="O594" s="49">
        <f>'Kalkulace a Porovnání'!O594</f>
        <v>0</v>
      </c>
      <c r="P594" s="49">
        <f>'Kalkulace a Porovnání'!P594</f>
        <v>0</v>
      </c>
      <c r="Q594" s="32">
        <f>'Kalkulace a Porovnání'!Q594</f>
        <v>0</v>
      </c>
      <c r="T594" s="12" t="s">
        <v>43</v>
      </c>
      <c r="U594" s="13" t="s">
        <v>44</v>
      </c>
      <c r="V594" s="3" t="s">
        <v>10</v>
      </c>
      <c r="W594" s="49">
        <f>'Kalkulace a Porovnání'!W594</f>
        <v>0</v>
      </c>
      <c r="X594" s="49">
        <f>'Kalkulace a Porovnání'!X594</f>
        <v>0</v>
      </c>
      <c r="Y594" s="49">
        <f>'Kalkulace a Porovnání'!Y594</f>
        <v>0</v>
      </c>
      <c r="Z594" s="49">
        <f>'Kalkulace a Porovnání'!Z594</f>
        <v>0</v>
      </c>
      <c r="AA594" s="49">
        <f>'Kalkulace a Porovnání'!AA594</f>
        <v>0</v>
      </c>
      <c r="AB594" s="32">
        <f>'Kalkulace a Porovnání'!AB594</f>
        <v>0</v>
      </c>
      <c r="AC594" s="183"/>
      <c r="AD594" s="547"/>
      <c r="AG594" s="972"/>
      <c r="AH594" s="972"/>
      <c r="AI594" s="342"/>
      <c r="AJ594" s="342"/>
      <c r="AK594" s="547"/>
      <c r="AL594" s="183"/>
    </row>
    <row r="595" spans="2:38" x14ac:dyDescent="0.25">
      <c r="B595" s="12" t="s">
        <v>45</v>
      </c>
      <c r="C595" s="12" t="s">
        <v>46</v>
      </c>
      <c r="D595" s="3" t="s">
        <v>10</v>
      </c>
      <c r="E595" s="49">
        <f>'Kalkulace a Porovnání'!E595</f>
        <v>0</v>
      </c>
      <c r="F595" s="49">
        <f>'Kalkulace a Porovnání'!F595</f>
        <v>0</v>
      </c>
      <c r="G595" s="49">
        <f>'Kalkulace a Porovnání'!G595</f>
        <v>0</v>
      </c>
      <c r="H595" s="32">
        <f>'Kalkulace a Porovnání'!H595</f>
        <v>0</v>
      </c>
      <c r="K595" s="12" t="s">
        <v>45</v>
      </c>
      <c r="L595" s="12" t="s">
        <v>46</v>
      </c>
      <c r="M595" s="3" t="s">
        <v>10</v>
      </c>
      <c r="N595" s="49">
        <f>'Kalkulace a Porovnání'!N595</f>
        <v>0</v>
      </c>
      <c r="O595" s="49">
        <f>'Kalkulace a Porovnání'!O595</f>
        <v>0</v>
      </c>
      <c r="P595" s="49">
        <f>'Kalkulace a Porovnání'!P595</f>
        <v>0</v>
      </c>
      <c r="Q595" s="32">
        <f>'Kalkulace a Porovnání'!Q595</f>
        <v>0</v>
      </c>
      <c r="T595" s="12" t="s">
        <v>45</v>
      </c>
      <c r="U595" s="12" t="s">
        <v>46</v>
      </c>
      <c r="V595" s="3" t="s">
        <v>10</v>
      </c>
      <c r="W595" s="49">
        <f>'Kalkulace a Porovnání'!W595</f>
        <v>0</v>
      </c>
      <c r="X595" s="49">
        <f>'Kalkulace a Porovnání'!X595</f>
        <v>0</v>
      </c>
      <c r="Y595" s="49">
        <f>'Kalkulace a Porovnání'!Y595</f>
        <v>0</v>
      </c>
      <c r="Z595" s="49">
        <f>'Kalkulace a Porovnání'!Z595</f>
        <v>0</v>
      </c>
      <c r="AA595" s="49">
        <f>'Kalkulace a Porovnání'!AA595</f>
        <v>0</v>
      </c>
      <c r="AB595" s="32">
        <f>'Kalkulace a Porovnání'!AB595</f>
        <v>0</v>
      </c>
      <c r="AC595" s="183"/>
      <c r="AD595" s="547"/>
      <c r="AG595" s="972"/>
      <c r="AH595" s="972"/>
      <c r="AI595" s="342"/>
      <c r="AJ595" s="342"/>
      <c r="AK595" s="547"/>
      <c r="AL595" s="183"/>
    </row>
    <row r="596" spans="2:38" x14ac:dyDescent="0.25">
      <c r="B596" s="12" t="s">
        <v>47</v>
      </c>
      <c r="C596" s="13" t="s">
        <v>48</v>
      </c>
      <c r="D596" s="3" t="s">
        <v>10</v>
      </c>
      <c r="E596" s="49">
        <f>'Kalkulace a Porovnání'!E596</f>
        <v>0</v>
      </c>
      <c r="F596" s="49">
        <f>'Kalkulace a Porovnání'!F596</f>
        <v>0</v>
      </c>
      <c r="G596" s="49">
        <f>'Kalkulace a Porovnání'!G596</f>
        <v>0</v>
      </c>
      <c r="H596" s="32">
        <f>'Kalkulace a Porovnání'!H596</f>
        <v>0</v>
      </c>
      <c r="K596" s="12" t="s">
        <v>47</v>
      </c>
      <c r="L596" s="13" t="s">
        <v>48</v>
      </c>
      <c r="M596" s="3" t="s">
        <v>10</v>
      </c>
      <c r="N596" s="49">
        <f>'Kalkulace a Porovnání'!N596</f>
        <v>0</v>
      </c>
      <c r="O596" s="49">
        <f>'Kalkulace a Porovnání'!O596</f>
        <v>0</v>
      </c>
      <c r="P596" s="49">
        <f>'Kalkulace a Porovnání'!P596</f>
        <v>0</v>
      </c>
      <c r="Q596" s="32">
        <f>'Kalkulace a Porovnání'!Q596</f>
        <v>0</v>
      </c>
      <c r="T596" s="12" t="s">
        <v>47</v>
      </c>
      <c r="U596" s="13" t="s">
        <v>48</v>
      </c>
      <c r="V596" s="3" t="s">
        <v>10</v>
      </c>
      <c r="W596" s="49">
        <f>'Kalkulace a Porovnání'!W596</f>
        <v>0</v>
      </c>
      <c r="X596" s="49">
        <f>'Kalkulace a Porovnání'!X596</f>
        <v>0</v>
      </c>
      <c r="Y596" s="49">
        <f>'Kalkulace a Porovnání'!Y596</f>
        <v>0</v>
      </c>
      <c r="Z596" s="49">
        <f>'Kalkulace a Porovnání'!Z596</f>
        <v>0</v>
      </c>
      <c r="AA596" s="49">
        <f>'Kalkulace a Porovnání'!AA596</f>
        <v>0</v>
      </c>
      <c r="AB596" s="32">
        <f>'Kalkulace a Porovnání'!AB596</f>
        <v>0</v>
      </c>
      <c r="AC596" s="183"/>
      <c r="AD596" s="547"/>
      <c r="AG596" s="545"/>
      <c r="AH596" s="545"/>
      <c r="AI596" s="342"/>
      <c r="AJ596" s="342"/>
      <c r="AK596" s="547"/>
      <c r="AL596" s="183"/>
    </row>
    <row r="597" spans="2:38" x14ac:dyDescent="0.25">
      <c r="B597" s="9" t="s">
        <v>49</v>
      </c>
      <c r="C597" s="10" t="s">
        <v>50</v>
      </c>
      <c r="D597" s="11" t="s">
        <v>10</v>
      </c>
      <c r="E597" s="49">
        <f>'Kalkulace a Porovnání'!E597</f>
        <v>0</v>
      </c>
      <c r="F597" s="49">
        <f>'Kalkulace a Porovnání'!F597</f>
        <v>0</v>
      </c>
      <c r="G597" s="49">
        <f>'Kalkulace a Porovnání'!G597</f>
        <v>0</v>
      </c>
      <c r="H597" s="32">
        <f>'Kalkulace a Porovnání'!H597</f>
        <v>0</v>
      </c>
      <c r="K597" s="9" t="s">
        <v>49</v>
      </c>
      <c r="L597" s="10" t="s">
        <v>50</v>
      </c>
      <c r="M597" s="11" t="s">
        <v>10</v>
      </c>
      <c r="N597" s="49">
        <f>'Kalkulace a Porovnání'!N597</f>
        <v>0</v>
      </c>
      <c r="O597" s="49">
        <f>'Kalkulace a Porovnání'!O597</f>
        <v>0</v>
      </c>
      <c r="P597" s="49">
        <f>'Kalkulace a Porovnání'!P597</f>
        <v>0</v>
      </c>
      <c r="Q597" s="32">
        <f>'Kalkulace a Porovnání'!Q597</f>
        <v>0</v>
      </c>
      <c r="T597" s="9" t="s">
        <v>49</v>
      </c>
      <c r="U597" s="10" t="s">
        <v>50</v>
      </c>
      <c r="V597" s="11" t="s">
        <v>10</v>
      </c>
      <c r="W597" s="49">
        <f>'Kalkulace a Porovnání'!W597</f>
        <v>0</v>
      </c>
      <c r="X597" s="49">
        <f>'Kalkulace a Porovnání'!X597</f>
        <v>0</v>
      </c>
      <c r="Y597" s="49">
        <f>'Kalkulace a Porovnání'!Y597</f>
        <v>0</v>
      </c>
      <c r="Z597" s="49">
        <f>'Kalkulace a Porovnání'!Z597</f>
        <v>0</v>
      </c>
      <c r="AA597" s="49">
        <f>'Kalkulace a Porovnání'!AA597</f>
        <v>0</v>
      </c>
      <c r="AB597" s="32">
        <f>'Kalkulace a Porovnání'!AB597</f>
        <v>0</v>
      </c>
      <c r="AC597" s="183"/>
      <c r="AD597" s="547"/>
      <c r="AG597" s="184"/>
      <c r="AH597" s="184"/>
      <c r="AI597" s="342"/>
      <c r="AJ597" s="342"/>
      <c r="AK597" s="547"/>
      <c r="AL597" s="183"/>
    </row>
    <row r="598" spans="2:38" x14ac:dyDescent="0.25">
      <c r="B598" s="9" t="s">
        <v>51</v>
      </c>
      <c r="C598" s="10" t="s">
        <v>52</v>
      </c>
      <c r="D598" s="11" t="s">
        <v>10</v>
      </c>
      <c r="E598" s="49">
        <f>'Kalkulace a Porovnání'!E598</f>
        <v>0</v>
      </c>
      <c r="F598" s="49">
        <f>'Kalkulace a Porovnání'!F598</f>
        <v>0</v>
      </c>
      <c r="G598" s="49">
        <f>'Kalkulace a Porovnání'!G598</f>
        <v>0</v>
      </c>
      <c r="H598" s="32">
        <f>'Kalkulace a Porovnání'!H598</f>
        <v>0</v>
      </c>
      <c r="K598" s="9" t="s">
        <v>51</v>
      </c>
      <c r="L598" s="10" t="s">
        <v>52</v>
      </c>
      <c r="M598" s="11" t="s">
        <v>10</v>
      </c>
      <c r="N598" s="49">
        <f>'Kalkulace a Porovnání'!N598</f>
        <v>0</v>
      </c>
      <c r="O598" s="49">
        <f>'Kalkulace a Porovnání'!O598</f>
        <v>0</v>
      </c>
      <c r="P598" s="49">
        <f>'Kalkulace a Porovnání'!P598</f>
        <v>0</v>
      </c>
      <c r="Q598" s="32">
        <f>'Kalkulace a Porovnání'!Q598</f>
        <v>0</v>
      </c>
      <c r="T598" s="9" t="s">
        <v>51</v>
      </c>
      <c r="U598" s="10" t="s">
        <v>52</v>
      </c>
      <c r="V598" s="11" t="s">
        <v>10</v>
      </c>
      <c r="W598" s="49">
        <f>'Kalkulace a Porovnání'!W598</f>
        <v>0</v>
      </c>
      <c r="X598" s="49">
        <f>'Kalkulace a Porovnání'!X598</f>
        <v>0</v>
      </c>
      <c r="Y598" s="49">
        <f>'Kalkulace a Porovnání'!Y598</f>
        <v>0</v>
      </c>
      <c r="Z598" s="49">
        <f>'Kalkulace a Porovnání'!Z598</f>
        <v>0</v>
      </c>
      <c r="AA598" s="49">
        <f>'Kalkulace a Porovnání'!AA598</f>
        <v>0</v>
      </c>
      <c r="AB598" s="32">
        <f>'Kalkulace a Porovnání'!AB598</f>
        <v>0</v>
      </c>
      <c r="AC598" s="183"/>
      <c r="AD598" s="547"/>
      <c r="AG598" s="184"/>
      <c r="AH598" s="184"/>
      <c r="AI598" s="342"/>
      <c r="AJ598" s="342"/>
      <c r="AK598" s="547"/>
      <c r="AL598" s="183"/>
    </row>
    <row r="599" spans="2:38" x14ac:dyDescent="0.25">
      <c r="B599" s="9" t="s">
        <v>53</v>
      </c>
      <c r="C599" s="10" t="s">
        <v>54</v>
      </c>
      <c r="D599" s="11" t="s">
        <v>10</v>
      </c>
      <c r="E599" s="49">
        <f>'Kalkulace a Porovnání'!E599</f>
        <v>0</v>
      </c>
      <c r="F599" s="49">
        <f>'Kalkulace a Porovnání'!F599</f>
        <v>0</v>
      </c>
      <c r="G599" s="49">
        <f>'Kalkulace a Porovnání'!G599</f>
        <v>0</v>
      </c>
      <c r="H599" s="32">
        <f>'Kalkulace a Porovnání'!H599</f>
        <v>0</v>
      </c>
      <c r="K599" s="9" t="s">
        <v>53</v>
      </c>
      <c r="L599" s="10" t="s">
        <v>54</v>
      </c>
      <c r="M599" s="11" t="s">
        <v>10</v>
      </c>
      <c r="N599" s="49">
        <f>'Kalkulace a Porovnání'!N599</f>
        <v>0</v>
      </c>
      <c r="O599" s="49">
        <f>'Kalkulace a Porovnání'!O599</f>
        <v>0</v>
      </c>
      <c r="P599" s="49">
        <f>'Kalkulace a Porovnání'!P599</f>
        <v>0</v>
      </c>
      <c r="Q599" s="32">
        <f>'Kalkulace a Porovnání'!Q599</f>
        <v>0</v>
      </c>
      <c r="T599" s="9" t="s">
        <v>53</v>
      </c>
      <c r="U599" s="10" t="s">
        <v>54</v>
      </c>
      <c r="V599" s="11" t="s">
        <v>10</v>
      </c>
      <c r="W599" s="49">
        <f>'Kalkulace a Porovnání'!W599</f>
        <v>0</v>
      </c>
      <c r="X599" s="49">
        <f>'Kalkulace a Porovnání'!X599</f>
        <v>0</v>
      </c>
      <c r="Y599" s="49">
        <f>'Kalkulace a Porovnání'!Y599</f>
        <v>0</v>
      </c>
      <c r="Z599" s="49">
        <f>'Kalkulace a Porovnání'!Z599</f>
        <v>0</v>
      </c>
      <c r="AA599" s="49">
        <f>'Kalkulace a Porovnání'!AA599</f>
        <v>0</v>
      </c>
      <c r="AB599" s="32">
        <f>'Kalkulace a Porovnání'!AB599</f>
        <v>0</v>
      </c>
      <c r="AC599" s="183"/>
      <c r="AD599" s="547"/>
      <c r="AG599" s="184"/>
      <c r="AH599" s="184"/>
      <c r="AI599" s="342"/>
      <c r="AJ599" s="342"/>
      <c r="AK599" s="547"/>
      <c r="AL599" s="183"/>
    </row>
    <row r="600" spans="2:38" x14ac:dyDescent="0.25">
      <c r="B600" s="9" t="s">
        <v>55</v>
      </c>
      <c r="C600" s="10" t="s">
        <v>56</v>
      </c>
      <c r="D600" s="11" t="s">
        <v>10</v>
      </c>
      <c r="E600" s="49">
        <f>'Kalkulace a Porovnání'!E600</f>
        <v>0</v>
      </c>
      <c r="F600" s="49">
        <f>'Kalkulace a Porovnání'!F600</f>
        <v>0</v>
      </c>
      <c r="G600" s="49">
        <f>'Kalkulace a Porovnání'!G600</f>
        <v>0</v>
      </c>
      <c r="H600" s="32">
        <f>'Kalkulace a Porovnání'!H600</f>
        <v>0</v>
      </c>
      <c r="K600" s="9" t="s">
        <v>55</v>
      </c>
      <c r="L600" s="10" t="s">
        <v>56</v>
      </c>
      <c r="M600" s="11" t="s">
        <v>10</v>
      </c>
      <c r="N600" s="49">
        <f>'Kalkulace a Porovnání'!N600</f>
        <v>0</v>
      </c>
      <c r="O600" s="49">
        <f>'Kalkulace a Porovnání'!O600</f>
        <v>0</v>
      </c>
      <c r="P600" s="49">
        <f>'Kalkulace a Porovnání'!P600</f>
        <v>0</v>
      </c>
      <c r="Q600" s="32">
        <f>'Kalkulace a Porovnání'!Q600</f>
        <v>0</v>
      </c>
      <c r="T600" s="9" t="s">
        <v>55</v>
      </c>
      <c r="U600" s="10" t="s">
        <v>56</v>
      </c>
      <c r="V600" s="11" t="s">
        <v>10</v>
      </c>
      <c r="W600" s="49">
        <f>'Kalkulace a Porovnání'!W600</f>
        <v>0</v>
      </c>
      <c r="X600" s="49">
        <f>'Kalkulace a Porovnání'!X600</f>
        <v>0</v>
      </c>
      <c r="Y600" s="49">
        <f>'Kalkulace a Porovnání'!Y600</f>
        <v>0</v>
      </c>
      <c r="Z600" s="49">
        <f>'Kalkulace a Porovnání'!Z600</f>
        <v>0</v>
      </c>
      <c r="AA600" s="49">
        <f>'Kalkulace a Porovnání'!AA600</f>
        <v>0</v>
      </c>
      <c r="AB600" s="32">
        <f>'Kalkulace a Porovnání'!AB600</f>
        <v>0</v>
      </c>
      <c r="AC600" s="183"/>
      <c r="AD600" s="547"/>
      <c r="AG600" s="184"/>
      <c r="AH600" s="184"/>
      <c r="AI600" s="342"/>
      <c r="AJ600" s="342"/>
      <c r="AK600" s="547"/>
      <c r="AL600" s="183"/>
    </row>
    <row r="601" spans="2:38" x14ac:dyDescent="0.25">
      <c r="B601" s="9" t="s">
        <v>57</v>
      </c>
      <c r="C601" s="10" t="s">
        <v>58</v>
      </c>
      <c r="D601" s="11" t="s">
        <v>10</v>
      </c>
      <c r="E601" s="46">
        <f>'Kalkulace a Porovnání'!E601</f>
        <v>0</v>
      </c>
      <c r="F601" s="46">
        <f>'Kalkulace a Porovnání'!F601</f>
        <v>0</v>
      </c>
      <c r="G601" s="46">
        <f>'Kalkulace a Porovnání'!G601</f>
        <v>0</v>
      </c>
      <c r="H601" s="98">
        <f>'Kalkulace a Porovnání'!H601</f>
        <v>0</v>
      </c>
      <c r="K601" s="9" t="s">
        <v>57</v>
      </c>
      <c r="L601" s="10" t="s">
        <v>58</v>
      </c>
      <c r="M601" s="11" t="s">
        <v>10</v>
      </c>
      <c r="N601" s="46">
        <f>'Kalkulace a Porovnání'!N601</f>
        <v>0</v>
      </c>
      <c r="O601" s="46">
        <f>'Kalkulace a Porovnání'!O601</f>
        <v>0</v>
      </c>
      <c r="P601" s="46">
        <f>'Kalkulace a Porovnání'!P601</f>
        <v>0</v>
      </c>
      <c r="Q601" s="98">
        <f>'Kalkulace a Porovnání'!Q601</f>
        <v>0</v>
      </c>
      <c r="T601" s="9" t="s">
        <v>57</v>
      </c>
      <c r="U601" s="10" t="s">
        <v>58</v>
      </c>
      <c r="V601" s="11" t="s">
        <v>10</v>
      </c>
      <c r="W601" s="46">
        <f>'Kalkulace a Porovnání'!W601</f>
        <v>0</v>
      </c>
      <c r="X601" s="46">
        <f>'Kalkulace a Porovnání'!X601</f>
        <v>0</v>
      </c>
      <c r="Y601" s="46">
        <f>'Kalkulace a Porovnání'!Y601</f>
        <v>0</v>
      </c>
      <c r="Z601" s="46">
        <f>'Kalkulace a Porovnání'!Z601</f>
        <v>0</v>
      </c>
      <c r="AA601" s="46">
        <f>'Kalkulace a Porovnání'!AA601</f>
        <v>0</v>
      </c>
      <c r="AB601" s="98">
        <f>'Kalkulace a Porovnání'!AB601</f>
        <v>0</v>
      </c>
      <c r="AC601" s="183"/>
      <c r="AD601" s="547"/>
      <c r="AG601" s="184"/>
      <c r="AH601" s="184"/>
      <c r="AI601" s="342"/>
      <c r="AJ601" s="342"/>
      <c r="AK601" s="547"/>
      <c r="AL601" s="183"/>
    </row>
    <row r="602" spans="2:38" x14ac:dyDescent="0.25">
      <c r="B602" s="12" t="s">
        <v>59</v>
      </c>
      <c r="C602" s="13" t="s">
        <v>112</v>
      </c>
      <c r="D602" s="3" t="s">
        <v>10</v>
      </c>
      <c r="E602" s="437">
        <f>'Kalkulace a Porovnání'!E602</f>
        <v>0</v>
      </c>
      <c r="F602" s="437">
        <f>'Kalkulace a Porovnání'!F602</f>
        <v>0</v>
      </c>
      <c r="G602" s="437">
        <f>'Kalkulace a Porovnání'!G602</f>
        <v>0</v>
      </c>
      <c r="H602" s="438">
        <f>'Kalkulace a Porovnání'!H602</f>
        <v>0</v>
      </c>
      <c r="K602" s="12" t="s">
        <v>59</v>
      </c>
      <c r="L602" s="13" t="s">
        <v>112</v>
      </c>
      <c r="M602" s="3" t="s">
        <v>10</v>
      </c>
      <c r="N602" s="437">
        <f>'Kalkulace a Porovnání'!N602</f>
        <v>0</v>
      </c>
      <c r="O602" s="437">
        <f>'Kalkulace a Porovnání'!O602</f>
        <v>0</v>
      </c>
      <c r="P602" s="437">
        <f>'Kalkulace a Porovnání'!P602</f>
        <v>0</v>
      </c>
      <c r="Q602" s="438">
        <f>'Kalkulace a Porovnání'!Q602</f>
        <v>0</v>
      </c>
      <c r="T602" s="12" t="s">
        <v>59</v>
      </c>
      <c r="U602" s="13" t="s">
        <v>112</v>
      </c>
      <c r="V602" s="3" t="s">
        <v>10</v>
      </c>
      <c r="W602" s="437">
        <f>'Kalkulace a Porovnání'!W602</f>
        <v>0</v>
      </c>
      <c r="X602" s="437">
        <f>'Kalkulace a Porovnání'!X602</f>
        <v>0</v>
      </c>
      <c r="Y602" s="437">
        <f>'Kalkulace a Porovnání'!Y602</f>
        <v>0</v>
      </c>
      <c r="Z602" s="437">
        <f>'Kalkulace a Porovnání'!Z602</f>
        <v>0</v>
      </c>
      <c r="AA602" s="437">
        <f>'Kalkulace a Porovnání'!AA602</f>
        <v>0</v>
      </c>
      <c r="AB602" s="438">
        <f>'Kalkulace a Porovnání'!AB602</f>
        <v>0</v>
      </c>
      <c r="AC602" s="183"/>
      <c r="AD602" s="547"/>
      <c r="AG602" s="973"/>
      <c r="AH602" s="973"/>
      <c r="AI602" s="342"/>
      <c r="AJ602" s="342"/>
      <c r="AK602" s="547"/>
      <c r="AL602" s="183"/>
    </row>
    <row r="603" spans="2:38" x14ac:dyDescent="0.25">
      <c r="B603" s="12" t="s">
        <v>60</v>
      </c>
      <c r="C603" s="13" t="s">
        <v>113</v>
      </c>
      <c r="D603" s="3" t="s">
        <v>10</v>
      </c>
      <c r="E603" s="437">
        <f>'Kalkulace a Porovnání'!E603</f>
        <v>0</v>
      </c>
      <c r="F603" s="437">
        <f>'Kalkulace a Porovnání'!F603</f>
        <v>0</v>
      </c>
      <c r="G603" s="437">
        <f>'Kalkulace a Porovnání'!G603</f>
        <v>0</v>
      </c>
      <c r="H603" s="438">
        <f>'Kalkulace a Porovnání'!H603</f>
        <v>0</v>
      </c>
      <c r="K603" s="12" t="s">
        <v>60</v>
      </c>
      <c r="L603" s="13" t="s">
        <v>113</v>
      </c>
      <c r="M603" s="3" t="s">
        <v>10</v>
      </c>
      <c r="N603" s="437">
        <f>'Kalkulace a Porovnání'!N603</f>
        <v>0</v>
      </c>
      <c r="O603" s="437">
        <f>'Kalkulace a Porovnání'!O603</f>
        <v>0</v>
      </c>
      <c r="P603" s="437">
        <f>'Kalkulace a Porovnání'!P603</f>
        <v>0</v>
      </c>
      <c r="Q603" s="438">
        <f>'Kalkulace a Porovnání'!Q603</f>
        <v>0</v>
      </c>
      <c r="T603" s="12" t="s">
        <v>60</v>
      </c>
      <c r="U603" s="13" t="s">
        <v>113</v>
      </c>
      <c r="V603" s="3" t="s">
        <v>10</v>
      </c>
      <c r="W603" s="437">
        <f>'Kalkulace a Porovnání'!W603</f>
        <v>0</v>
      </c>
      <c r="X603" s="437">
        <f>'Kalkulace a Porovnání'!X603</f>
        <v>0</v>
      </c>
      <c r="Y603" s="437">
        <f>'Kalkulace a Porovnání'!Y603</f>
        <v>0</v>
      </c>
      <c r="Z603" s="437">
        <f>'Kalkulace a Porovnání'!Z603</f>
        <v>0</v>
      </c>
      <c r="AA603" s="437">
        <f>'Kalkulace a Porovnání'!AA603</f>
        <v>0</v>
      </c>
      <c r="AB603" s="438">
        <f>'Kalkulace a Porovnání'!AB603</f>
        <v>0</v>
      </c>
      <c r="AC603" s="183"/>
      <c r="AD603" s="547"/>
      <c r="AG603" s="973"/>
      <c r="AH603" s="973"/>
      <c r="AI603" s="342"/>
      <c r="AJ603" s="342"/>
      <c r="AK603" s="547"/>
      <c r="AL603" s="183"/>
    </row>
    <row r="604" spans="2:38" x14ac:dyDescent="0.25">
      <c r="B604" s="12" t="s">
        <v>61</v>
      </c>
      <c r="C604" s="13" t="s">
        <v>62</v>
      </c>
      <c r="D604" s="3" t="s">
        <v>63</v>
      </c>
      <c r="E604" s="439">
        <f>'Kalkulace a Porovnání'!E604</f>
        <v>0</v>
      </c>
      <c r="F604" s="439">
        <f>'Kalkulace a Porovnání'!F604</f>
        <v>0</v>
      </c>
      <c r="G604" s="439">
        <f>'Kalkulace a Porovnání'!G604</f>
        <v>0</v>
      </c>
      <c r="H604" s="440">
        <f>'Kalkulace a Porovnání'!H604</f>
        <v>0</v>
      </c>
      <c r="K604" s="12" t="s">
        <v>61</v>
      </c>
      <c r="L604" s="13" t="s">
        <v>62</v>
      </c>
      <c r="M604" s="3" t="s">
        <v>63</v>
      </c>
      <c r="N604" s="439">
        <f>'Kalkulace a Porovnání'!N604</f>
        <v>0</v>
      </c>
      <c r="O604" s="439">
        <f>'Kalkulace a Porovnání'!O604</f>
        <v>0</v>
      </c>
      <c r="P604" s="439">
        <f>'Kalkulace a Porovnání'!P604</f>
        <v>0</v>
      </c>
      <c r="Q604" s="440">
        <f>'Kalkulace a Porovnání'!Q604</f>
        <v>0</v>
      </c>
      <c r="T604" s="12" t="s">
        <v>61</v>
      </c>
      <c r="U604" s="13" t="s">
        <v>62</v>
      </c>
      <c r="V604" s="3" t="s">
        <v>63</v>
      </c>
      <c r="W604" s="439">
        <f>'Kalkulace a Porovnání'!W604</f>
        <v>0</v>
      </c>
      <c r="X604" s="439">
        <f>'Kalkulace a Porovnání'!X604</f>
        <v>0</v>
      </c>
      <c r="Y604" s="439">
        <f>'Kalkulace a Porovnání'!Y604</f>
        <v>0</v>
      </c>
      <c r="Z604" s="439">
        <f>'Kalkulace a Porovnání'!Z604</f>
        <v>0</v>
      </c>
      <c r="AA604" s="439">
        <f>'Kalkulace a Porovnání'!AA604</f>
        <v>0</v>
      </c>
      <c r="AB604" s="440">
        <f>'Kalkulace a Porovnání'!AB604</f>
        <v>0</v>
      </c>
      <c r="AC604" s="183"/>
      <c r="AD604" s="547"/>
      <c r="AG604" s="972"/>
      <c r="AH604" s="972"/>
      <c r="AI604" s="342"/>
      <c r="AJ604" s="342"/>
      <c r="AK604" s="547"/>
      <c r="AL604" s="183"/>
    </row>
    <row r="605" spans="2:38" x14ac:dyDescent="0.25">
      <c r="B605" s="12" t="s">
        <v>64</v>
      </c>
      <c r="C605" s="13" t="s">
        <v>65</v>
      </c>
      <c r="D605" s="3" t="s">
        <v>66</v>
      </c>
      <c r="E605" s="49">
        <f>'Kalkulace a Porovnání'!E605</f>
        <v>0</v>
      </c>
      <c r="F605" s="49">
        <f>'Kalkulace a Porovnání'!F605</f>
        <v>0</v>
      </c>
      <c r="G605" s="49">
        <f>'Kalkulace a Porovnání'!G605</f>
        <v>0</v>
      </c>
      <c r="H605" s="32">
        <f>'Kalkulace a Porovnání'!H605</f>
        <v>0</v>
      </c>
      <c r="K605" s="12" t="s">
        <v>64</v>
      </c>
      <c r="L605" s="13" t="s">
        <v>65</v>
      </c>
      <c r="M605" s="3" t="s">
        <v>66</v>
      </c>
      <c r="N605" s="49">
        <f>'Kalkulace a Porovnání'!N605</f>
        <v>0</v>
      </c>
      <c r="O605" s="49">
        <f>'Kalkulace a Porovnání'!O605</f>
        <v>0</v>
      </c>
      <c r="P605" s="49">
        <f>'Kalkulace a Porovnání'!P605</f>
        <v>0</v>
      </c>
      <c r="Q605" s="32">
        <f>'Kalkulace a Porovnání'!Q605</f>
        <v>0</v>
      </c>
      <c r="T605" s="12" t="s">
        <v>64</v>
      </c>
      <c r="U605" s="13" t="s">
        <v>65</v>
      </c>
      <c r="V605" s="3" t="s">
        <v>66</v>
      </c>
      <c r="W605" s="49">
        <f>'Kalkulace a Porovnání'!W605</f>
        <v>0</v>
      </c>
      <c r="X605" s="49">
        <f>'Kalkulace a Porovnání'!X605</f>
        <v>0</v>
      </c>
      <c r="Y605" s="49">
        <f>'Kalkulace a Porovnání'!Y605</f>
        <v>0</v>
      </c>
      <c r="Z605" s="49">
        <f>'Kalkulace a Porovnání'!Z605</f>
        <v>0</v>
      </c>
      <c r="AA605" s="49">
        <f>'Kalkulace a Porovnání'!AA605</f>
        <v>0</v>
      </c>
      <c r="AB605" s="32">
        <f>'Kalkulace a Porovnání'!AB605</f>
        <v>0</v>
      </c>
      <c r="AC605" s="183"/>
      <c r="AD605" s="547"/>
      <c r="AG605" s="972"/>
      <c r="AH605" s="972"/>
      <c r="AI605" s="342"/>
      <c r="AJ605" s="342"/>
      <c r="AK605" s="547"/>
      <c r="AL605" s="183"/>
    </row>
    <row r="606" spans="2:38" x14ac:dyDescent="0.25">
      <c r="B606" s="12" t="s">
        <v>67</v>
      </c>
      <c r="C606" s="13" t="s">
        <v>68</v>
      </c>
      <c r="D606" s="3" t="s">
        <v>66</v>
      </c>
      <c r="E606" s="49">
        <f>'Kalkulace a Porovnání'!E606</f>
        <v>0</v>
      </c>
      <c r="F606" s="49">
        <f>'Kalkulace a Porovnání'!F606</f>
        <v>0</v>
      </c>
      <c r="G606" s="49">
        <f>'Kalkulace a Porovnání'!G606</f>
        <v>0</v>
      </c>
      <c r="H606" s="32">
        <f>'Kalkulace a Porovnání'!H606</f>
        <v>0</v>
      </c>
      <c r="K606" s="12" t="s">
        <v>67</v>
      </c>
      <c r="L606" s="13" t="s">
        <v>68</v>
      </c>
      <c r="M606" s="3" t="s">
        <v>66</v>
      </c>
      <c r="N606" s="49">
        <f>'Kalkulace a Porovnání'!N606</f>
        <v>0</v>
      </c>
      <c r="O606" s="49">
        <f>'Kalkulace a Porovnání'!O606</f>
        <v>0</v>
      </c>
      <c r="P606" s="49">
        <f>'Kalkulace a Porovnání'!P606</f>
        <v>0</v>
      </c>
      <c r="Q606" s="32">
        <f>'Kalkulace a Porovnání'!Q606</f>
        <v>0</v>
      </c>
      <c r="T606" s="12" t="s">
        <v>67</v>
      </c>
      <c r="U606" s="13" t="s">
        <v>68</v>
      </c>
      <c r="V606" s="3" t="s">
        <v>66</v>
      </c>
      <c r="W606" s="49">
        <f>'Kalkulace a Porovnání'!W606</f>
        <v>0</v>
      </c>
      <c r="X606" s="49">
        <f>'Kalkulace a Porovnání'!X606</f>
        <v>0</v>
      </c>
      <c r="Y606" s="49">
        <f>'Kalkulace a Porovnání'!Y606</f>
        <v>0</v>
      </c>
      <c r="Z606" s="49">
        <f>'Kalkulace a Porovnání'!Z606</f>
        <v>0</v>
      </c>
      <c r="AA606" s="49">
        <f>'Kalkulace a Porovnání'!AA606</f>
        <v>0</v>
      </c>
      <c r="AB606" s="32">
        <f>'Kalkulace a Porovnání'!AB606</f>
        <v>0</v>
      </c>
      <c r="AC606" s="183"/>
      <c r="AD606" s="547"/>
      <c r="AG606" s="184"/>
      <c r="AH606" s="184"/>
      <c r="AI606" s="342"/>
      <c r="AJ606" s="342"/>
      <c r="AK606" s="547"/>
      <c r="AL606" s="183"/>
    </row>
    <row r="607" spans="2:38" x14ac:dyDescent="0.25">
      <c r="B607" s="12" t="s">
        <v>69</v>
      </c>
      <c r="C607" s="13" t="s">
        <v>70</v>
      </c>
      <c r="D607" s="3" t="s">
        <v>66</v>
      </c>
      <c r="E607" s="49">
        <f>'Kalkulace a Porovnání'!E607</f>
        <v>0</v>
      </c>
      <c r="F607" s="49">
        <f>'Kalkulace a Porovnání'!F607</f>
        <v>0</v>
      </c>
      <c r="G607" s="49">
        <f>'Kalkulace a Porovnání'!G607</f>
        <v>0</v>
      </c>
      <c r="H607" s="32">
        <f>'Kalkulace a Porovnání'!H607</f>
        <v>0</v>
      </c>
      <c r="K607" s="12" t="s">
        <v>69</v>
      </c>
      <c r="L607" s="13" t="s">
        <v>70</v>
      </c>
      <c r="M607" s="3" t="s">
        <v>66</v>
      </c>
      <c r="N607" s="49">
        <f>'Kalkulace a Porovnání'!N607</f>
        <v>0</v>
      </c>
      <c r="O607" s="49">
        <f>'Kalkulace a Porovnání'!O607</f>
        <v>0</v>
      </c>
      <c r="P607" s="49">
        <f>'Kalkulace a Porovnání'!P607</f>
        <v>0</v>
      </c>
      <c r="Q607" s="32">
        <f>'Kalkulace a Porovnání'!Q607</f>
        <v>0</v>
      </c>
      <c r="T607" s="12" t="s">
        <v>69</v>
      </c>
      <c r="U607" s="13" t="s">
        <v>70</v>
      </c>
      <c r="V607" s="3" t="s">
        <v>66</v>
      </c>
      <c r="W607" s="49">
        <f>'Kalkulace a Porovnání'!W607</f>
        <v>0</v>
      </c>
      <c r="X607" s="49">
        <f>'Kalkulace a Porovnání'!X607</f>
        <v>0</v>
      </c>
      <c r="Y607" s="49">
        <f>'Kalkulace a Porovnání'!Y607</f>
        <v>0</v>
      </c>
      <c r="Z607" s="49">
        <f>'Kalkulace a Porovnání'!Z607</f>
        <v>0</v>
      </c>
      <c r="AA607" s="49">
        <f>'Kalkulace a Porovnání'!AA607</f>
        <v>0</v>
      </c>
      <c r="AB607" s="32">
        <f>'Kalkulace a Porovnání'!AB607</f>
        <v>0</v>
      </c>
      <c r="AC607" s="183"/>
      <c r="AD607" s="547"/>
      <c r="AG607" s="549"/>
      <c r="AH607" s="549"/>
      <c r="AI607" s="342"/>
      <c r="AJ607" s="342"/>
      <c r="AK607" s="547"/>
      <c r="AL607" s="183"/>
    </row>
    <row r="608" spans="2:38" x14ac:dyDescent="0.25">
      <c r="B608" s="12" t="s">
        <v>71</v>
      </c>
      <c r="C608" s="13" t="s">
        <v>68</v>
      </c>
      <c r="D608" s="3" t="s">
        <v>66</v>
      </c>
      <c r="E608" s="49">
        <f>'Kalkulace a Porovnání'!E608</f>
        <v>0</v>
      </c>
      <c r="F608" s="49">
        <f>'Kalkulace a Porovnání'!F608</f>
        <v>0</v>
      </c>
      <c r="G608" s="49">
        <f>'Kalkulace a Porovnání'!G608</f>
        <v>0</v>
      </c>
      <c r="H608" s="32">
        <f>'Kalkulace a Porovnání'!H608</f>
        <v>0</v>
      </c>
      <c r="K608" s="12" t="s">
        <v>71</v>
      </c>
      <c r="L608" s="13" t="s">
        <v>68</v>
      </c>
      <c r="M608" s="3" t="s">
        <v>66</v>
      </c>
      <c r="N608" s="49">
        <f>'Kalkulace a Porovnání'!N608</f>
        <v>0</v>
      </c>
      <c r="O608" s="49">
        <f>'Kalkulace a Porovnání'!O608</f>
        <v>0</v>
      </c>
      <c r="P608" s="49">
        <f>'Kalkulace a Porovnání'!P608</f>
        <v>0</v>
      </c>
      <c r="Q608" s="32">
        <f>'Kalkulace a Porovnání'!Q608</f>
        <v>0</v>
      </c>
      <c r="T608" s="12" t="s">
        <v>71</v>
      </c>
      <c r="U608" s="13" t="s">
        <v>68</v>
      </c>
      <c r="V608" s="3" t="s">
        <v>66</v>
      </c>
      <c r="W608" s="49">
        <f>'Kalkulace a Porovnání'!W608</f>
        <v>0</v>
      </c>
      <c r="X608" s="49">
        <f>'Kalkulace a Porovnání'!X608</f>
        <v>0</v>
      </c>
      <c r="Y608" s="49">
        <f>'Kalkulace a Porovnání'!Y608</f>
        <v>0</v>
      </c>
      <c r="Z608" s="49">
        <f>'Kalkulace a Porovnání'!Z608</f>
        <v>0</v>
      </c>
      <c r="AA608" s="49">
        <f>'Kalkulace a Porovnání'!AA608</f>
        <v>0</v>
      </c>
      <c r="AB608" s="32">
        <f>'Kalkulace a Porovnání'!AB608</f>
        <v>0</v>
      </c>
      <c r="AC608" s="183"/>
      <c r="AD608" s="547"/>
      <c r="AG608" s="546"/>
      <c r="AH608" s="546"/>
      <c r="AI608" s="342"/>
      <c r="AJ608" s="342"/>
      <c r="AK608" s="547"/>
      <c r="AL608" s="183"/>
    </row>
    <row r="609" spans="2:38" x14ac:dyDescent="0.25">
      <c r="B609" s="12" t="s">
        <v>72</v>
      </c>
      <c r="C609" s="13" t="s">
        <v>73</v>
      </c>
      <c r="D609" s="3" t="s">
        <v>66</v>
      </c>
      <c r="E609" s="49">
        <f>'Kalkulace a Porovnání'!E609</f>
        <v>0</v>
      </c>
      <c r="F609" s="49">
        <f>'Kalkulace a Porovnání'!F609</f>
        <v>0</v>
      </c>
      <c r="G609" s="49">
        <f>'Kalkulace a Porovnání'!G609</f>
        <v>0</v>
      </c>
      <c r="H609" s="32">
        <f>'Kalkulace a Porovnání'!H609</f>
        <v>0</v>
      </c>
      <c r="K609" s="12" t="s">
        <v>72</v>
      </c>
      <c r="L609" s="13" t="s">
        <v>73</v>
      </c>
      <c r="M609" s="3" t="s">
        <v>66</v>
      </c>
      <c r="N609" s="49">
        <f>'Kalkulace a Porovnání'!N609</f>
        <v>0</v>
      </c>
      <c r="O609" s="49">
        <f>'Kalkulace a Porovnání'!O609</f>
        <v>0</v>
      </c>
      <c r="P609" s="49">
        <f>'Kalkulace a Porovnání'!P609</f>
        <v>0</v>
      </c>
      <c r="Q609" s="32">
        <f>'Kalkulace a Porovnání'!Q609</f>
        <v>0</v>
      </c>
      <c r="T609" s="12" t="s">
        <v>72</v>
      </c>
      <c r="U609" s="13" t="s">
        <v>73</v>
      </c>
      <c r="V609" s="3" t="s">
        <v>66</v>
      </c>
      <c r="W609" s="49">
        <f>'Kalkulace a Porovnání'!W609</f>
        <v>0</v>
      </c>
      <c r="X609" s="49">
        <f>'Kalkulace a Porovnání'!X609</f>
        <v>0</v>
      </c>
      <c r="Y609" s="49">
        <f>'Kalkulace a Porovnání'!Y609</f>
        <v>0</v>
      </c>
      <c r="Z609" s="49">
        <f>'Kalkulace a Porovnání'!Z609</f>
        <v>0</v>
      </c>
      <c r="AA609" s="49">
        <f>'Kalkulace a Porovnání'!AA609</f>
        <v>0</v>
      </c>
      <c r="AB609" s="32">
        <f>'Kalkulace a Porovnání'!AB609</f>
        <v>0</v>
      </c>
      <c r="AC609" s="183"/>
      <c r="AD609" s="547"/>
      <c r="AG609" s="184"/>
      <c r="AH609" s="184"/>
      <c r="AI609" s="549"/>
      <c r="AJ609" s="549"/>
      <c r="AK609" s="547"/>
      <c r="AL609" s="183"/>
    </row>
    <row r="610" spans="2:38" x14ac:dyDescent="0.25">
      <c r="B610" s="12" t="s">
        <v>74</v>
      </c>
      <c r="C610" s="13" t="s">
        <v>75</v>
      </c>
      <c r="D610" s="3" t="s">
        <v>66</v>
      </c>
      <c r="E610" s="49">
        <f>'Kalkulace a Porovnání'!E610</f>
        <v>0</v>
      </c>
      <c r="F610" s="49">
        <f>'Kalkulace a Porovnání'!F610</f>
        <v>0</v>
      </c>
      <c r="G610" s="49">
        <f>'Kalkulace a Porovnání'!G610</f>
        <v>0</v>
      </c>
      <c r="H610" s="32">
        <f>'Kalkulace a Porovnání'!H610</f>
        <v>0</v>
      </c>
      <c r="K610" s="12" t="s">
        <v>74</v>
      </c>
      <c r="L610" s="13" t="s">
        <v>75</v>
      </c>
      <c r="M610" s="3" t="s">
        <v>66</v>
      </c>
      <c r="N610" s="49">
        <f>'Kalkulace a Porovnání'!N610</f>
        <v>0</v>
      </c>
      <c r="O610" s="49">
        <f>'Kalkulace a Porovnání'!O610</f>
        <v>0</v>
      </c>
      <c r="P610" s="49">
        <f>'Kalkulace a Porovnání'!P610</f>
        <v>0</v>
      </c>
      <c r="Q610" s="32">
        <f>'Kalkulace a Porovnání'!Q610</f>
        <v>0</v>
      </c>
      <c r="T610" s="12" t="s">
        <v>74</v>
      </c>
      <c r="U610" s="13" t="s">
        <v>75</v>
      </c>
      <c r="V610" s="3" t="s">
        <v>66</v>
      </c>
      <c r="W610" s="49">
        <f>'Kalkulace a Porovnání'!W610</f>
        <v>0</v>
      </c>
      <c r="X610" s="49">
        <f>'Kalkulace a Porovnání'!X610</f>
        <v>0</v>
      </c>
      <c r="Y610" s="49">
        <f>'Kalkulace a Porovnání'!Y610</f>
        <v>0</v>
      </c>
      <c r="Z610" s="49">
        <f>'Kalkulace a Porovnání'!Z610</f>
        <v>0</v>
      </c>
      <c r="AA610" s="49">
        <f>'Kalkulace a Porovnání'!AA610</f>
        <v>0</v>
      </c>
      <c r="AB610" s="32">
        <f>'Kalkulace a Porovnání'!AB610</f>
        <v>0</v>
      </c>
      <c r="AC610" s="183"/>
      <c r="AD610" s="547"/>
      <c r="AG610" s="184"/>
      <c r="AH610" s="184"/>
      <c r="AI610" s="549"/>
      <c r="AJ610" s="549"/>
      <c r="AK610" s="547"/>
      <c r="AL610" s="183"/>
    </row>
    <row r="611" spans="2:38" x14ac:dyDescent="0.25">
      <c r="B611" s="12" t="s">
        <v>76</v>
      </c>
      <c r="C611" s="13" t="s">
        <v>77</v>
      </c>
      <c r="D611" s="3" t="s">
        <v>66</v>
      </c>
      <c r="E611" s="49">
        <f>'Kalkulace a Porovnání'!E611</f>
        <v>0</v>
      </c>
      <c r="F611" s="49">
        <f>'Kalkulace a Porovnání'!F611</f>
        <v>0</v>
      </c>
      <c r="G611" s="49">
        <f>'Kalkulace a Porovnání'!G611</f>
        <v>0</v>
      </c>
      <c r="H611" s="32">
        <f>'Kalkulace a Porovnání'!H611</f>
        <v>0</v>
      </c>
      <c r="K611" s="12" t="s">
        <v>76</v>
      </c>
      <c r="L611" s="13" t="s">
        <v>77</v>
      </c>
      <c r="M611" s="3" t="s">
        <v>66</v>
      </c>
      <c r="N611" s="49">
        <f>'Kalkulace a Porovnání'!N611</f>
        <v>0</v>
      </c>
      <c r="O611" s="49">
        <f>'Kalkulace a Porovnání'!O611</f>
        <v>0</v>
      </c>
      <c r="P611" s="49">
        <f>'Kalkulace a Porovnání'!P611</f>
        <v>0</v>
      </c>
      <c r="Q611" s="32">
        <f>'Kalkulace a Porovnání'!Q611</f>
        <v>0</v>
      </c>
      <c r="T611" s="12" t="s">
        <v>76</v>
      </c>
      <c r="U611" s="13" t="s">
        <v>77</v>
      </c>
      <c r="V611" s="3" t="s">
        <v>66</v>
      </c>
      <c r="W611" s="49">
        <f>'Kalkulace a Porovnání'!W611</f>
        <v>0</v>
      </c>
      <c r="X611" s="49">
        <f>'Kalkulace a Porovnání'!X611</f>
        <v>0</v>
      </c>
      <c r="Y611" s="49">
        <f>'Kalkulace a Porovnání'!Y611</f>
        <v>0</v>
      </c>
      <c r="Z611" s="49">
        <f>'Kalkulace a Porovnání'!Z611</f>
        <v>0</v>
      </c>
      <c r="AA611" s="49">
        <f>'Kalkulace a Porovnání'!AA611</f>
        <v>0</v>
      </c>
      <c r="AB611" s="32">
        <f>'Kalkulace a Porovnání'!AB611</f>
        <v>0</v>
      </c>
      <c r="AC611" s="183"/>
      <c r="AD611" s="547"/>
      <c r="AG611" s="184"/>
      <c r="AH611" s="184"/>
      <c r="AI611" s="549"/>
      <c r="AJ611" s="549"/>
      <c r="AK611" s="547"/>
      <c r="AL611" s="183"/>
    </row>
    <row r="612" spans="2:38" x14ac:dyDescent="0.25">
      <c r="B612" s="12" t="s">
        <v>78</v>
      </c>
      <c r="C612" s="13" t="s">
        <v>79</v>
      </c>
      <c r="D612" s="3" t="s">
        <v>66</v>
      </c>
      <c r="E612" s="49">
        <f>'Kalkulace a Porovnání'!E612</f>
        <v>0</v>
      </c>
      <c r="F612" s="49">
        <f>'Kalkulace a Porovnání'!F612</f>
        <v>0</v>
      </c>
      <c r="G612" s="49">
        <f>'Kalkulace a Porovnání'!G612</f>
        <v>0</v>
      </c>
      <c r="H612" s="32">
        <f>'Kalkulace a Porovnání'!H612</f>
        <v>0</v>
      </c>
      <c r="K612" s="12" t="s">
        <v>78</v>
      </c>
      <c r="L612" s="13" t="s">
        <v>79</v>
      </c>
      <c r="M612" s="3" t="s">
        <v>66</v>
      </c>
      <c r="N612" s="49">
        <f>'Kalkulace a Porovnání'!N612</f>
        <v>0</v>
      </c>
      <c r="O612" s="49">
        <f>'Kalkulace a Porovnání'!O612</f>
        <v>0</v>
      </c>
      <c r="P612" s="49">
        <f>'Kalkulace a Porovnání'!P612</f>
        <v>0</v>
      </c>
      <c r="Q612" s="32">
        <f>'Kalkulace a Porovnání'!Q612</f>
        <v>0</v>
      </c>
      <c r="T612" s="12" t="s">
        <v>78</v>
      </c>
      <c r="U612" s="13" t="s">
        <v>79</v>
      </c>
      <c r="V612" s="3" t="s">
        <v>66</v>
      </c>
      <c r="W612" s="49">
        <f>'Kalkulace a Porovnání'!W612</f>
        <v>0</v>
      </c>
      <c r="X612" s="49">
        <f>'Kalkulace a Porovnání'!X612</f>
        <v>0</v>
      </c>
      <c r="Y612" s="49">
        <f>'Kalkulace a Porovnání'!Y612</f>
        <v>0</v>
      </c>
      <c r="Z612" s="49">
        <f>'Kalkulace a Porovnání'!Z612</f>
        <v>0</v>
      </c>
      <c r="AA612" s="49">
        <f>'Kalkulace a Porovnání'!AA612</f>
        <v>0</v>
      </c>
      <c r="AB612" s="32">
        <f>'Kalkulace a Porovnání'!AB612</f>
        <v>0</v>
      </c>
      <c r="AC612" s="183"/>
      <c r="AD612" s="547"/>
      <c r="AG612" s="421"/>
      <c r="AH612" s="421"/>
      <c r="AI612" s="342"/>
      <c r="AJ612" s="342"/>
      <c r="AK612" s="547"/>
      <c r="AL612" s="183"/>
    </row>
    <row r="613" spans="2:38" x14ac:dyDescent="0.25">
      <c r="B613" s="1"/>
      <c r="C613" s="1"/>
      <c r="D613" s="1"/>
      <c r="E613" s="1"/>
      <c r="F613" s="1"/>
      <c r="G613" s="1"/>
      <c r="H613" s="1"/>
      <c r="K613" s="1"/>
      <c r="L613" s="1"/>
      <c r="M613" s="1"/>
      <c r="N613" s="1"/>
      <c r="O613" s="1"/>
      <c r="P613" s="1"/>
      <c r="Q613" s="1"/>
      <c r="T613" s="1"/>
      <c r="U613" s="1"/>
      <c r="V613" s="1"/>
      <c r="W613" s="1"/>
      <c r="X613" s="1"/>
      <c r="Y613" s="1"/>
      <c r="Z613" s="1"/>
      <c r="AA613" s="1"/>
      <c r="AB613" s="1"/>
      <c r="AC613" s="183"/>
      <c r="AD613" s="547"/>
      <c r="AG613" s="547"/>
      <c r="AH613" s="547"/>
      <c r="AI613" s="547"/>
      <c r="AJ613" s="547"/>
      <c r="AK613" s="547"/>
      <c r="AL613" s="183"/>
    </row>
    <row r="614" spans="2:38" x14ac:dyDescent="0.25">
      <c r="B614" s="932" t="s">
        <v>5</v>
      </c>
      <c r="C614" s="721" t="s">
        <v>80</v>
      </c>
      <c r="D614" s="722"/>
      <c r="E614" s="723"/>
      <c r="F614" s="724"/>
      <c r="G614" s="722"/>
      <c r="H614" s="725"/>
      <c r="K614" s="932" t="s">
        <v>5</v>
      </c>
      <c r="L614" s="721" t="s">
        <v>80</v>
      </c>
      <c r="M614" s="722"/>
      <c r="N614" s="723"/>
      <c r="O614" s="724"/>
      <c r="P614" s="722"/>
      <c r="Q614" s="725"/>
      <c r="T614" s="771" t="s">
        <v>5</v>
      </c>
      <c r="U614" s="721" t="s">
        <v>80</v>
      </c>
      <c r="V614" s="722"/>
      <c r="W614" s="723"/>
      <c r="X614" s="723"/>
      <c r="Y614" s="724"/>
      <c r="Z614" s="722"/>
      <c r="AA614" s="722"/>
      <c r="AB614" s="725"/>
      <c r="AC614" s="183"/>
      <c r="AD614" s="547"/>
      <c r="AG614" s="547"/>
      <c r="AH614" s="547"/>
      <c r="AI614" s="547"/>
      <c r="AJ614" s="547"/>
      <c r="AK614" s="547"/>
      <c r="AL614" s="183"/>
    </row>
    <row r="615" spans="2:38" x14ac:dyDescent="0.25">
      <c r="B615" s="930"/>
      <c r="C615" s="932" t="s">
        <v>81</v>
      </c>
      <c r="D615" s="929" t="s">
        <v>173</v>
      </c>
      <c r="E615" s="874" t="s">
        <v>118</v>
      </c>
      <c r="F615" s="937"/>
      <c r="G615" s="26" t="s">
        <v>3</v>
      </c>
      <c r="H615" s="23" t="s">
        <v>4</v>
      </c>
      <c r="K615" s="930"/>
      <c r="L615" s="5" t="s">
        <v>81</v>
      </c>
      <c r="M615" s="929" t="s">
        <v>173</v>
      </c>
      <c r="N615" s="874" t="s">
        <v>118</v>
      </c>
      <c r="O615" s="937"/>
      <c r="P615" s="26" t="s">
        <v>3</v>
      </c>
      <c r="Q615" s="23" t="s">
        <v>4</v>
      </c>
      <c r="T615" s="934"/>
      <c r="U615" s="932" t="s">
        <v>81</v>
      </c>
      <c r="V615" s="929" t="s">
        <v>173</v>
      </c>
      <c r="W615" s="874" t="s">
        <v>118</v>
      </c>
      <c r="X615" s="937"/>
      <c r="Y615" s="874" t="s">
        <v>3</v>
      </c>
      <c r="Z615" s="939"/>
      <c r="AA615" s="940" t="s">
        <v>4</v>
      </c>
      <c r="AB615" s="940"/>
      <c r="AC615" s="183"/>
      <c r="AD615" s="547"/>
      <c r="AG615" s="547"/>
      <c r="AH615" s="547"/>
      <c r="AI615" s="547"/>
      <c r="AJ615" s="547"/>
      <c r="AK615" s="547"/>
      <c r="AL615" s="183"/>
    </row>
    <row r="616" spans="2:38" x14ac:dyDescent="0.25">
      <c r="B616" s="931"/>
      <c r="C616" s="931"/>
      <c r="D616" s="936"/>
      <c r="E616" s="875"/>
      <c r="F616" s="938"/>
      <c r="G616" s="27" t="s">
        <v>7</v>
      </c>
      <c r="H616" s="24" t="s">
        <v>7</v>
      </c>
      <c r="K616" s="931"/>
      <c r="L616" s="8"/>
      <c r="M616" s="936"/>
      <c r="N616" s="875"/>
      <c r="O616" s="938"/>
      <c r="P616" s="27" t="s">
        <v>7</v>
      </c>
      <c r="Q616" s="24" t="s">
        <v>7</v>
      </c>
      <c r="T616" s="935"/>
      <c r="U616" s="931"/>
      <c r="V616" s="936"/>
      <c r="W616" s="875"/>
      <c r="X616" s="938"/>
      <c r="Y616" s="40" t="s">
        <v>196</v>
      </c>
      <c r="Z616" s="40" t="s">
        <v>7</v>
      </c>
      <c r="AA616" s="40" t="s">
        <v>196</v>
      </c>
      <c r="AB616" s="40" t="s">
        <v>7</v>
      </c>
      <c r="AC616" s="183"/>
      <c r="AD616" s="547"/>
      <c r="AG616" s="547"/>
      <c r="AH616" s="547"/>
      <c r="AI616" s="547"/>
      <c r="AJ616" s="547"/>
      <c r="AK616" s="547"/>
      <c r="AL616" s="183"/>
    </row>
    <row r="617" spans="2:38" x14ac:dyDescent="0.25">
      <c r="B617" s="11">
        <v>1</v>
      </c>
      <c r="C617" s="11">
        <v>2</v>
      </c>
      <c r="D617" s="11" t="s">
        <v>111</v>
      </c>
      <c r="E617" s="735" t="s">
        <v>115</v>
      </c>
      <c r="F617" s="736"/>
      <c r="G617" s="11" t="s">
        <v>116</v>
      </c>
      <c r="H617" s="22" t="s">
        <v>117</v>
      </c>
      <c r="K617" s="11">
        <v>1</v>
      </c>
      <c r="L617" s="11">
        <v>2</v>
      </c>
      <c r="M617" s="11" t="s">
        <v>111</v>
      </c>
      <c r="N617" s="735" t="s">
        <v>115</v>
      </c>
      <c r="O617" s="736"/>
      <c r="P617" s="11" t="s">
        <v>116</v>
      </c>
      <c r="Q617" s="22" t="s">
        <v>117</v>
      </c>
      <c r="T617" s="11">
        <v>1</v>
      </c>
      <c r="U617" s="11">
        <v>2</v>
      </c>
      <c r="V617" s="11" t="s">
        <v>111</v>
      </c>
      <c r="W617" s="944" t="s">
        <v>115</v>
      </c>
      <c r="X617" s="945"/>
      <c r="Y617" s="11" t="s">
        <v>201</v>
      </c>
      <c r="Z617" s="11" t="s">
        <v>116</v>
      </c>
      <c r="AA617" s="11" t="s">
        <v>200</v>
      </c>
      <c r="AB617" s="22" t="s">
        <v>117</v>
      </c>
      <c r="AC617" s="183"/>
      <c r="AD617" s="547"/>
      <c r="AG617" s="547"/>
      <c r="AH617" s="547"/>
      <c r="AI617" s="547"/>
      <c r="AJ617" s="547"/>
      <c r="AK617" s="547"/>
      <c r="AL617" s="183"/>
    </row>
    <row r="618" spans="2:38" x14ac:dyDescent="0.25">
      <c r="B618" s="12" t="s">
        <v>82</v>
      </c>
      <c r="C618" s="13" t="s">
        <v>127</v>
      </c>
      <c r="D618" s="13" t="s">
        <v>83</v>
      </c>
      <c r="E618" s="732" t="s">
        <v>120</v>
      </c>
      <c r="F618" s="733"/>
      <c r="G618" s="172">
        <f>'Kalkulace a Porovnání'!G618</f>
        <v>0</v>
      </c>
      <c r="H618" s="172">
        <f>'Kalkulace a Porovnání'!H618</f>
        <v>0</v>
      </c>
      <c r="K618" s="12" t="s">
        <v>82</v>
      </c>
      <c r="L618" s="13" t="s">
        <v>127</v>
      </c>
      <c r="M618" s="13" t="s">
        <v>83</v>
      </c>
      <c r="N618" s="732" t="s">
        <v>120</v>
      </c>
      <c r="O618" s="733"/>
      <c r="P618" s="172">
        <f>'Kalkulace a Porovnání'!P618</f>
        <v>0</v>
      </c>
      <c r="Q618" s="172">
        <f>'Kalkulace a Porovnání'!Q618</f>
        <v>0</v>
      </c>
      <c r="T618" s="12" t="s">
        <v>82</v>
      </c>
      <c r="U618" s="13" t="s">
        <v>127</v>
      </c>
      <c r="V618" s="13" t="s">
        <v>83</v>
      </c>
      <c r="W618" s="13" t="s">
        <v>120</v>
      </c>
      <c r="X618" s="101"/>
      <c r="Y618" s="172">
        <f>'Kalkulace a Porovnání'!Y618</f>
        <v>0</v>
      </c>
      <c r="Z618" s="172">
        <f>'Kalkulace a Porovnání'!Z618</f>
        <v>0</v>
      </c>
      <c r="AA618" s="172">
        <f>'Kalkulace a Porovnání'!AA618</f>
        <v>0</v>
      </c>
      <c r="AB618" s="172">
        <f>'Kalkulace a Porovnání'!AB618</f>
        <v>0</v>
      </c>
      <c r="AC618" s="183"/>
      <c r="AD618" s="547"/>
      <c r="AG618" s="547"/>
      <c r="AH618" s="547"/>
      <c r="AI618" s="547"/>
      <c r="AJ618" s="547"/>
      <c r="AK618" s="547"/>
      <c r="AL618" s="183"/>
    </row>
    <row r="619" spans="2:38" x14ac:dyDescent="0.25">
      <c r="B619" s="12" t="s">
        <v>84</v>
      </c>
      <c r="C619" s="13" t="s">
        <v>85</v>
      </c>
      <c r="D619" s="13" t="s">
        <v>10</v>
      </c>
      <c r="E619" s="732" t="s">
        <v>121</v>
      </c>
      <c r="F619" s="733"/>
      <c r="G619" s="449">
        <f>'Kalkulace a Porovnání'!G619</f>
        <v>0</v>
      </c>
      <c r="H619" s="449">
        <f>'Kalkulace a Porovnání'!H619</f>
        <v>0</v>
      </c>
      <c r="K619" s="12" t="s">
        <v>84</v>
      </c>
      <c r="L619" s="13" t="s">
        <v>85</v>
      </c>
      <c r="M619" s="13" t="s">
        <v>10</v>
      </c>
      <c r="N619" s="732" t="s">
        <v>121</v>
      </c>
      <c r="O619" s="733"/>
      <c r="P619" s="449">
        <f>'Kalkulace a Porovnání'!P619</f>
        <v>0</v>
      </c>
      <c r="Q619" s="449">
        <f>'Kalkulace a Porovnání'!Q619</f>
        <v>0</v>
      </c>
      <c r="T619" s="12" t="s">
        <v>84</v>
      </c>
      <c r="U619" s="13" t="s">
        <v>85</v>
      </c>
      <c r="V619" s="13" t="s">
        <v>10</v>
      </c>
      <c r="W619" s="13" t="s">
        <v>121</v>
      </c>
      <c r="X619" s="101"/>
      <c r="Y619" s="449">
        <f>'Kalkulace a Porovnání'!Y619</f>
        <v>0</v>
      </c>
      <c r="Z619" s="449">
        <f>'Kalkulace a Porovnání'!Z619</f>
        <v>0</v>
      </c>
      <c r="AA619" s="449">
        <f>'Kalkulace a Porovnání'!AA619</f>
        <v>0</v>
      </c>
      <c r="AB619" s="449">
        <f>'Kalkulace a Porovnání'!AB619</f>
        <v>0</v>
      </c>
      <c r="AC619" s="183"/>
      <c r="AD619" s="547"/>
      <c r="AG619" s="547"/>
      <c r="AH619" s="547"/>
      <c r="AI619" s="547"/>
      <c r="AJ619" s="547"/>
      <c r="AK619" s="547"/>
      <c r="AL619" s="183"/>
    </row>
    <row r="620" spans="2:38" x14ac:dyDescent="0.25">
      <c r="B620" s="12" t="s">
        <v>86</v>
      </c>
      <c r="C620" s="13" t="s">
        <v>87</v>
      </c>
      <c r="D620" s="13" t="s">
        <v>10</v>
      </c>
      <c r="E620" s="732"/>
      <c r="F620" s="733"/>
      <c r="G620" s="449">
        <f>'Kalkulace a Porovnání'!G620</f>
        <v>0</v>
      </c>
      <c r="H620" s="449">
        <f>'Kalkulace a Porovnání'!H620</f>
        <v>0</v>
      </c>
      <c r="K620" s="12" t="s">
        <v>86</v>
      </c>
      <c r="L620" s="13" t="s">
        <v>87</v>
      </c>
      <c r="M620" s="13" t="s">
        <v>10</v>
      </c>
      <c r="N620" s="732"/>
      <c r="O620" s="733"/>
      <c r="P620" s="449">
        <f>'Kalkulace a Porovnání'!P620</f>
        <v>0</v>
      </c>
      <c r="Q620" s="449">
        <f ca="1">'Kalkulace a Porovnání'!Q620</f>
        <v>7.758654207907981E-3</v>
      </c>
      <c r="T620" s="12" t="s">
        <v>86</v>
      </c>
      <c r="U620" s="13" t="s">
        <v>87</v>
      </c>
      <c r="V620" s="13" t="s">
        <v>10</v>
      </c>
      <c r="W620" s="13"/>
      <c r="X620" s="101"/>
      <c r="Y620" s="449">
        <f>'Kalkulace a Porovnání'!Y620</f>
        <v>0</v>
      </c>
      <c r="Z620" s="449">
        <f>'Kalkulace a Porovnání'!Z620</f>
        <v>0</v>
      </c>
      <c r="AA620" s="449">
        <f>'Kalkulace a Porovnání'!AA620</f>
        <v>0</v>
      </c>
      <c r="AB620" s="449">
        <f ca="1">'Kalkulace a Porovnání'!AB620</f>
        <v>7.758654207907981E-3</v>
      </c>
      <c r="AC620" s="183"/>
      <c r="AD620" s="547"/>
      <c r="AG620" s="547"/>
      <c r="AH620" s="547"/>
      <c r="AI620" s="547"/>
      <c r="AJ620" s="547"/>
      <c r="AK620" s="547"/>
      <c r="AL620" s="183"/>
    </row>
    <row r="621" spans="2:38" x14ac:dyDescent="0.25">
      <c r="B621" s="12" t="s">
        <v>88</v>
      </c>
      <c r="C621" s="21" t="s">
        <v>89</v>
      </c>
      <c r="D621" s="13" t="s">
        <v>90</v>
      </c>
      <c r="E621" s="732" t="s">
        <v>123</v>
      </c>
      <c r="F621" s="733"/>
      <c r="G621" s="172">
        <f>'Kalkulace a Porovnání'!G621</f>
        <v>0</v>
      </c>
      <c r="H621" s="172">
        <f>'Kalkulace a Porovnání'!H621</f>
        <v>0</v>
      </c>
      <c r="K621" s="12" t="s">
        <v>88</v>
      </c>
      <c r="L621" s="21" t="s">
        <v>89</v>
      </c>
      <c r="M621" s="13" t="s">
        <v>90</v>
      </c>
      <c r="N621" s="732" t="s">
        <v>123</v>
      </c>
      <c r="O621" s="733"/>
      <c r="P621" s="172">
        <f>'Kalkulace a Porovnání'!P621</f>
        <v>0</v>
      </c>
      <c r="Q621" s="172">
        <f>'Kalkulace a Porovnání'!Q621</f>
        <v>0</v>
      </c>
      <c r="T621" s="12" t="s">
        <v>88</v>
      </c>
      <c r="U621" s="21" t="s">
        <v>89</v>
      </c>
      <c r="V621" s="13" t="s">
        <v>90</v>
      </c>
      <c r="W621" s="13" t="s">
        <v>123</v>
      </c>
      <c r="X621" s="101"/>
      <c r="Y621" s="172">
        <f>'Kalkulace a Porovnání'!Y621</f>
        <v>0</v>
      </c>
      <c r="Z621" s="172">
        <f>'Kalkulace a Porovnání'!Z621</f>
        <v>0</v>
      </c>
      <c r="AA621" s="172">
        <f>'Kalkulace a Porovnání'!AA621</f>
        <v>0</v>
      </c>
      <c r="AB621" s="172">
        <f>'Kalkulace a Porovnání'!AB621</f>
        <v>0</v>
      </c>
      <c r="AC621" s="183"/>
      <c r="AD621" s="547"/>
      <c r="AG621" s="547"/>
      <c r="AH621" s="547"/>
      <c r="AI621" s="547"/>
      <c r="AJ621" s="547"/>
      <c r="AK621" s="547"/>
      <c r="AL621" s="183"/>
    </row>
    <row r="622" spans="2:38" x14ac:dyDescent="0.25">
      <c r="B622" s="12" t="s">
        <v>91</v>
      </c>
      <c r="C622" s="21" t="s">
        <v>92</v>
      </c>
      <c r="D622" s="13" t="s">
        <v>10</v>
      </c>
      <c r="E622" s="732"/>
      <c r="F622" s="733"/>
      <c r="G622" s="449">
        <f>'Kalkulace a Porovnání'!G622</f>
        <v>0</v>
      </c>
      <c r="H622" s="449">
        <f>'Kalkulace a Porovnání'!H622</f>
        <v>0</v>
      </c>
      <c r="K622" s="12" t="s">
        <v>91</v>
      </c>
      <c r="L622" s="21" t="s">
        <v>92</v>
      </c>
      <c r="M622" s="13" t="s">
        <v>10</v>
      </c>
      <c r="N622" s="732"/>
      <c r="O622" s="733"/>
      <c r="P622" s="449">
        <f>'Kalkulace a Porovnání'!P622</f>
        <v>0</v>
      </c>
      <c r="Q622" s="449">
        <f>'Kalkulace a Porovnání'!Q622</f>
        <v>0</v>
      </c>
      <c r="T622" s="12" t="s">
        <v>91</v>
      </c>
      <c r="U622" s="21" t="s">
        <v>92</v>
      </c>
      <c r="V622" s="13" t="s">
        <v>10</v>
      </c>
      <c r="W622" s="13"/>
      <c r="X622" s="101"/>
      <c r="Y622" s="449">
        <f>'Kalkulace a Porovnání'!Y622</f>
        <v>0</v>
      </c>
      <c r="Z622" s="449">
        <f>'Kalkulace a Porovnání'!Z622</f>
        <v>0</v>
      </c>
      <c r="AA622" s="449">
        <f>'Kalkulace a Porovnání'!AA622</f>
        <v>0</v>
      </c>
      <c r="AB622" s="449">
        <f>'Kalkulace a Porovnání'!AB622</f>
        <v>0</v>
      </c>
      <c r="AC622" s="183"/>
      <c r="AD622" s="547"/>
      <c r="AG622" s="547"/>
      <c r="AH622" s="547"/>
      <c r="AI622" s="547"/>
      <c r="AJ622" s="547"/>
      <c r="AK622" s="547"/>
      <c r="AL622" s="183"/>
    </row>
    <row r="623" spans="2:38" x14ac:dyDescent="0.25">
      <c r="B623" s="12" t="s">
        <v>93</v>
      </c>
      <c r="C623" s="13" t="s">
        <v>94</v>
      </c>
      <c r="D623" s="13" t="s">
        <v>10</v>
      </c>
      <c r="E623" s="732" t="s">
        <v>122</v>
      </c>
      <c r="F623" s="733"/>
      <c r="G623" s="449">
        <f>'Kalkulace a Porovnání'!G623</f>
        <v>0</v>
      </c>
      <c r="H623" s="449">
        <f>'Kalkulace a Porovnání'!H623</f>
        <v>0</v>
      </c>
      <c r="K623" s="12" t="s">
        <v>93</v>
      </c>
      <c r="L623" s="13" t="s">
        <v>94</v>
      </c>
      <c r="M623" s="13" t="s">
        <v>10</v>
      </c>
      <c r="N623" s="732" t="s">
        <v>122</v>
      </c>
      <c r="O623" s="733"/>
      <c r="P623" s="449">
        <f>'Kalkulace a Porovnání'!P623</f>
        <v>0</v>
      </c>
      <c r="Q623" s="449">
        <f ca="1">'Kalkulace a Porovnání'!Q623</f>
        <v>7.758654207907981E-3</v>
      </c>
      <c r="T623" s="12" t="s">
        <v>93</v>
      </c>
      <c r="U623" s="13" t="s">
        <v>94</v>
      </c>
      <c r="V623" s="13" t="s">
        <v>10</v>
      </c>
      <c r="W623" s="13" t="s">
        <v>122</v>
      </c>
      <c r="X623" s="101"/>
      <c r="Y623" s="449">
        <f>'Kalkulace a Porovnání'!Y623</f>
        <v>0</v>
      </c>
      <c r="Z623" s="449">
        <f>'Kalkulace a Porovnání'!Z623</f>
        <v>0</v>
      </c>
      <c r="AA623" s="449">
        <f>'Kalkulace a Porovnání'!AA623</f>
        <v>0</v>
      </c>
      <c r="AB623" s="449">
        <f ca="1">'Kalkulace a Porovnání'!AB623</f>
        <v>7.758654207907981E-3</v>
      </c>
      <c r="AC623" s="183"/>
      <c r="AD623" s="547"/>
      <c r="AG623" s="547"/>
      <c r="AH623" s="547"/>
      <c r="AI623" s="547"/>
      <c r="AJ623" s="547"/>
      <c r="AK623" s="547"/>
      <c r="AL623" s="183"/>
    </row>
    <row r="624" spans="2:38" x14ac:dyDescent="0.25">
      <c r="B624" s="12" t="s">
        <v>95</v>
      </c>
      <c r="C624" s="13" t="s">
        <v>96</v>
      </c>
      <c r="D624" s="13" t="s">
        <v>66</v>
      </c>
      <c r="E624" s="732" t="s">
        <v>124</v>
      </c>
      <c r="F624" s="733"/>
      <c r="G624" s="449">
        <f>'Kalkulace a Porovnání'!G624</f>
        <v>0</v>
      </c>
      <c r="H624" s="449">
        <f>'Kalkulace a Porovnání'!H624</f>
        <v>0</v>
      </c>
      <c r="K624" s="12" t="s">
        <v>95</v>
      </c>
      <c r="L624" s="13" t="s">
        <v>96</v>
      </c>
      <c r="M624" s="13" t="s">
        <v>66</v>
      </c>
      <c r="N624" s="732" t="s">
        <v>124</v>
      </c>
      <c r="O624" s="733"/>
      <c r="P624" s="449">
        <f>'Kalkulace a Porovnání'!P624</f>
        <v>0</v>
      </c>
      <c r="Q624" s="449">
        <f>'Kalkulace a Porovnání'!Q624</f>
        <v>0</v>
      </c>
      <c r="T624" s="12" t="s">
        <v>95</v>
      </c>
      <c r="U624" s="13" t="s">
        <v>96</v>
      </c>
      <c r="V624" s="13" t="s">
        <v>66</v>
      </c>
      <c r="W624" s="13" t="s">
        <v>124</v>
      </c>
      <c r="X624" s="101"/>
      <c r="Y624" s="449">
        <f>'Kalkulace a Porovnání'!Y624</f>
        <v>0</v>
      </c>
      <c r="Z624" s="449">
        <f>'Kalkulace a Porovnání'!Z624</f>
        <v>0</v>
      </c>
      <c r="AA624" s="449">
        <f>'Kalkulace a Porovnání'!AA624</f>
        <v>0</v>
      </c>
      <c r="AB624" s="449">
        <f>'Kalkulace a Porovnání'!AB624</f>
        <v>0</v>
      </c>
      <c r="AC624" s="183"/>
      <c r="AD624" s="547"/>
      <c r="AG624" s="547"/>
      <c r="AH624" s="547"/>
      <c r="AI624" s="547"/>
      <c r="AJ624" s="547"/>
      <c r="AK624" s="547"/>
      <c r="AL624" s="183"/>
    </row>
    <row r="625" spans="2:38" x14ac:dyDescent="0.25">
      <c r="B625" s="12" t="s">
        <v>97</v>
      </c>
      <c r="C625" s="13" t="s">
        <v>98</v>
      </c>
      <c r="D625" s="13" t="s">
        <v>83</v>
      </c>
      <c r="E625" s="732" t="s">
        <v>125</v>
      </c>
      <c r="F625" s="733"/>
      <c r="G625" s="172">
        <f>'Kalkulace a Porovnání'!G625</f>
        <v>0</v>
      </c>
      <c r="H625" s="172">
        <f>'Kalkulace a Porovnání'!H625</f>
        <v>0</v>
      </c>
      <c r="K625" s="12" t="s">
        <v>97</v>
      </c>
      <c r="L625" s="13" t="s">
        <v>98</v>
      </c>
      <c r="M625" s="13" t="s">
        <v>83</v>
      </c>
      <c r="N625" s="732" t="s">
        <v>125</v>
      </c>
      <c r="O625" s="733"/>
      <c r="P625" s="172">
        <f>'Kalkulace a Porovnání'!P625</f>
        <v>0</v>
      </c>
      <c r="Q625" s="172">
        <f>'Kalkulace a Porovnání'!Q625</f>
        <v>0</v>
      </c>
      <c r="T625" s="12" t="s">
        <v>97</v>
      </c>
      <c r="U625" s="13" t="s">
        <v>98</v>
      </c>
      <c r="V625" s="13" t="s">
        <v>83</v>
      </c>
      <c r="W625" s="13" t="s">
        <v>125</v>
      </c>
      <c r="X625" s="101"/>
      <c r="Y625" s="172">
        <f>'Kalkulace a Porovnání'!Y625</f>
        <v>0</v>
      </c>
      <c r="Z625" s="172">
        <f>'Kalkulace a Porovnání'!Z625</f>
        <v>0</v>
      </c>
      <c r="AA625" s="172">
        <f>'Kalkulace a Porovnání'!AA625</f>
        <v>0</v>
      </c>
      <c r="AB625" s="172">
        <f>'Kalkulace a Porovnání'!AB625</f>
        <v>0</v>
      </c>
      <c r="AC625" s="183"/>
      <c r="AD625" s="547"/>
      <c r="AG625" s="547"/>
      <c r="AH625" s="547"/>
      <c r="AI625" s="547"/>
      <c r="AJ625" s="547"/>
      <c r="AK625" s="547"/>
      <c r="AL625" s="183"/>
    </row>
    <row r="626" spans="2:38" x14ac:dyDescent="0.25">
      <c r="B626" s="12" t="s">
        <v>99</v>
      </c>
      <c r="C626" s="13" t="str">
        <f>CONCATENATE("CENA pro vodné, stočné + ",Provozování!E654*100,"% DPH")</f>
        <v>CENA pro vodné, stočné + 0% DPH</v>
      </c>
      <c r="D626" s="13" t="s">
        <v>83</v>
      </c>
      <c r="E626" s="732" t="s">
        <v>126</v>
      </c>
      <c r="F626" s="733"/>
      <c r="G626" s="172">
        <f>'Kalkulace a Porovnání'!G626</f>
        <v>0</v>
      </c>
      <c r="H626" s="172">
        <f>'Kalkulace a Porovnání'!H626</f>
        <v>0</v>
      </c>
      <c r="K626" s="12" t="s">
        <v>99</v>
      </c>
      <c r="L626" s="13" t="str">
        <f>C626</f>
        <v>CENA pro vodné, stočné + 0% DPH</v>
      </c>
      <c r="M626" s="13" t="s">
        <v>83</v>
      </c>
      <c r="N626" s="732" t="s">
        <v>126</v>
      </c>
      <c r="O626" s="733"/>
      <c r="P626" s="172">
        <f>'Kalkulace a Porovnání'!P626</f>
        <v>0</v>
      </c>
      <c r="Q626" s="172">
        <f>'Kalkulace a Porovnání'!Q626</f>
        <v>0</v>
      </c>
      <c r="T626" s="12" t="s">
        <v>99</v>
      </c>
      <c r="U626" s="13" t="str">
        <f>C626</f>
        <v>CENA pro vodné, stočné + 0% DPH</v>
      </c>
      <c r="V626" s="13" t="s">
        <v>83</v>
      </c>
      <c r="W626" s="13" t="s">
        <v>126</v>
      </c>
      <c r="X626" s="101"/>
      <c r="Y626" s="172">
        <f>'Kalkulace a Porovnání'!Y626</f>
        <v>0</v>
      </c>
      <c r="Z626" s="172">
        <f>'Kalkulace a Porovnání'!Z626</f>
        <v>0</v>
      </c>
      <c r="AA626" s="172">
        <f>'Kalkulace a Porovnání'!AA626</f>
        <v>0</v>
      </c>
      <c r="AB626" s="172">
        <f>'Kalkulace a Porovnání'!AB626</f>
        <v>0</v>
      </c>
      <c r="AC626" s="183"/>
      <c r="AD626" s="547"/>
      <c r="AG626" s="547"/>
      <c r="AH626" s="547"/>
      <c r="AI626" s="547"/>
      <c r="AJ626" s="547"/>
      <c r="AK626" s="547"/>
      <c r="AL626" s="183"/>
    </row>
    <row r="627" spans="2:38" x14ac:dyDescent="0.25"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T627" s="967" t="s">
        <v>203</v>
      </c>
      <c r="U627" s="967" t="s">
        <v>202</v>
      </c>
      <c r="V627" s="968" t="s">
        <v>10</v>
      </c>
      <c r="W627" s="919" t="s">
        <v>204</v>
      </c>
      <c r="X627" s="732"/>
      <c r="Y627" s="102" t="s">
        <v>206</v>
      </c>
      <c r="Z627" s="105" t="s">
        <v>207</v>
      </c>
      <c r="AA627" s="102" t="s">
        <v>206</v>
      </c>
      <c r="AB627" s="105" t="s">
        <v>207</v>
      </c>
      <c r="AC627" s="183"/>
      <c r="AD627" s="547"/>
      <c r="AG627" s="547"/>
      <c r="AH627" s="547"/>
      <c r="AI627" s="547"/>
      <c r="AJ627" s="547"/>
      <c r="AK627" s="547"/>
      <c r="AL627" s="183"/>
    </row>
    <row r="628" spans="2:38" x14ac:dyDescent="0.25">
      <c r="B628" s="500"/>
      <c r="C628" s="499"/>
      <c r="D628" s="499"/>
      <c r="E628" s="499"/>
      <c r="F628" s="499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T628" s="967"/>
      <c r="U628" s="967"/>
      <c r="V628" s="968"/>
      <c r="W628" s="969">
        <f>'Kalkulace a Porovnání'!W628</f>
        <v>0</v>
      </c>
      <c r="X628" s="970"/>
      <c r="Y628" s="103">
        <f>'Kalkulace a Porovnání'!Y628</f>
        <v>2028</v>
      </c>
      <c r="Z628" s="103">
        <f>'Kalkulace a Porovnání'!Z628</f>
        <v>2028</v>
      </c>
      <c r="AA628" s="103">
        <f>'Kalkulace a Porovnání'!AA628</f>
        <v>2028</v>
      </c>
      <c r="AB628" s="103">
        <f>'Kalkulace a Porovnání'!AB628</f>
        <v>2028</v>
      </c>
      <c r="AC628" s="183"/>
      <c r="AD628" s="547"/>
      <c r="AG628" s="547"/>
      <c r="AH628" s="547"/>
      <c r="AI628" s="547"/>
      <c r="AJ628" s="547"/>
      <c r="AK628" s="547"/>
      <c r="AL628" s="183"/>
    </row>
    <row r="629" spans="2:38" x14ac:dyDescent="0.25">
      <c r="B629" s="500"/>
      <c r="C629" s="499"/>
      <c r="D629" s="499"/>
      <c r="E629" s="499"/>
      <c r="F629" s="499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T629" s="967"/>
      <c r="U629" s="967"/>
      <c r="V629" s="968"/>
      <c r="W629" s="919" t="s">
        <v>205</v>
      </c>
      <c r="X629" s="732"/>
      <c r="Y629" s="104" t="s">
        <v>208</v>
      </c>
      <c r="Z629" s="104" t="s">
        <v>208</v>
      </c>
      <c r="AA629" s="104" t="s">
        <v>209</v>
      </c>
      <c r="AB629" s="104" t="s">
        <v>209</v>
      </c>
      <c r="AC629" s="183"/>
      <c r="AD629" s="547"/>
      <c r="AG629" s="547"/>
      <c r="AH629" s="547"/>
      <c r="AI629" s="547"/>
      <c r="AJ629" s="547"/>
      <c r="AK629" s="547"/>
      <c r="AL629" s="183"/>
    </row>
    <row r="630" spans="2:38" x14ac:dyDescent="0.25">
      <c r="B630" s="499"/>
      <c r="C630" s="499"/>
      <c r="D630" s="499"/>
      <c r="E630" s="499"/>
      <c r="F630" s="499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T630" s="967"/>
      <c r="U630" s="967"/>
      <c r="V630" s="968"/>
      <c r="W630" s="971">
        <f>'Kalkulace a Porovnání'!W630</f>
        <v>0</v>
      </c>
      <c r="X630" s="971"/>
      <c r="Y630" s="449">
        <f>'Kalkulace a Porovnání'!Y630</f>
        <v>0</v>
      </c>
      <c r="Z630" s="449">
        <f>'Kalkulace a Porovnání'!Z630</f>
        <v>0</v>
      </c>
      <c r="AA630" s="449">
        <f>'Kalkulace a Porovnání'!AA630</f>
        <v>0</v>
      </c>
      <c r="AB630" s="449">
        <f>'Kalkulace a Porovnání'!AB630</f>
        <v>0</v>
      </c>
      <c r="AC630" s="183"/>
      <c r="AD630" s="547"/>
      <c r="AG630" s="547"/>
      <c r="AH630" s="547"/>
      <c r="AI630" s="547"/>
      <c r="AJ630" s="547"/>
      <c r="AK630" s="547"/>
      <c r="AL630" s="183"/>
    </row>
    <row r="631" spans="2:38" x14ac:dyDescent="0.25">
      <c r="B631" s="31"/>
      <c r="AC631" s="183"/>
      <c r="AD631" s="547"/>
      <c r="AG631" s="547"/>
      <c r="AH631" s="547"/>
      <c r="AI631" s="547"/>
      <c r="AJ631" s="547"/>
      <c r="AK631" s="547"/>
      <c r="AL631" s="183"/>
    </row>
    <row r="632" spans="2:38" x14ac:dyDescent="0.25">
      <c r="B632" s="726" t="s">
        <v>393</v>
      </c>
      <c r="C632" s="727"/>
      <c r="D632" s="727"/>
      <c r="E632" s="727"/>
      <c r="F632" s="727"/>
      <c r="G632" s="727"/>
      <c r="H632" s="727"/>
      <c r="K632" s="726" t="s">
        <v>394</v>
      </c>
      <c r="L632" s="727"/>
      <c r="M632" s="727"/>
      <c r="N632" s="727"/>
      <c r="O632" s="727"/>
      <c r="P632" s="727"/>
      <c r="Q632" s="727"/>
      <c r="T632" s="726" t="s">
        <v>210</v>
      </c>
      <c r="U632" s="727"/>
      <c r="V632" s="727"/>
      <c r="W632" s="727"/>
      <c r="X632" s="727"/>
      <c r="Y632" s="727"/>
      <c r="Z632" s="727"/>
      <c r="AA632" s="727"/>
      <c r="AB632" s="727"/>
      <c r="AC632" s="183"/>
      <c r="AD632" s="547"/>
      <c r="AG632" s="547"/>
      <c r="AH632" s="547"/>
      <c r="AI632" s="547"/>
      <c r="AJ632" s="547"/>
      <c r="AK632" s="547"/>
      <c r="AL632" s="183"/>
    </row>
    <row r="633" spans="2:38" x14ac:dyDescent="0.25">
      <c r="C633" s="362"/>
      <c r="E633" s="25"/>
      <c r="F633" s="25"/>
      <c r="L633" s="25"/>
      <c r="N633" s="25"/>
      <c r="T633" s="950" t="s">
        <v>395</v>
      </c>
      <c r="U633" s="950"/>
      <c r="V633" s="950"/>
      <c r="W633" s="950"/>
      <c r="X633" s="950"/>
      <c r="Y633" s="950"/>
      <c r="Z633" s="950"/>
      <c r="AA633" s="950"/>
      <c r="AB633" s="950"/>
      <c r="AC633" s="183"/>
      <c r="AD633" s="547"/>
      <c r="AG633" s="547"/>
      <c r="AH633" s="547"/>
      <c r="AI633" s="547"/>
      <c r="AJ633" s="547"/>
      <c r="AK633" s="547"/>
      <c r="AL633" s="183"/>
    </row>
    <row r="634" spans="2:38" x14ac:dyDescent="0.25">
      <c r="C634" s="362" t="s">
        <v>119</v>
      </c>
      <c r="D634" s="364">
        <f>'Kalkulace a Porovnání'!D634</f>
        <v>2029</v>
      </c>
      <c r="E634" s="25"/>
      <c r="F634" s="362" t="s">
        <v>278</v>
      </c>
      <c r="G634" s="365" t="str">
        <f>'Kalkulace a Porovnání'!G634</f>
        <v>-</v>
      </c>
      <c r="H634" s="365" t="str">
        <f>'Kalkulace a Porovnání'!H634</f>
        <v xml:space="preserve"> </v>
      </c>
      <c r="L634" s="362" t="s">
        <v>119</v>
      </c>
      <c r="M634" s="364">
        <f>'Kalkulace a Porovnání'!M634</f>
        <v>2029</v>
      </c>
      <c r="O634" s="362" t="s">
        <v>278</v>
      </c>
      <c r="P634" s="365" t="str">
        <f>'Kalkulace a Porovnání'!P634</f>
        <v>-</v>
      </c>
      <c r="Q634" s="365" t="str">
        <f>'Kalkulace a Porovnání'!Q634</f>
        <v xml:space="preserve"> </v>
      </c>
      <c r="T634" s="441"/>
      <c r="U634" s="441"/>
      <c r="V634" s="451" t="s">
        <v>195</v>
      </c>
      <c r="W634" s="364">
        <f>'Kalkulace a Porovnání'!W634</f>
        <v>2029</v>
      </c>
      <c r="Z634" s="362" t="s">
        <v>278</v>
      </c>
      <c r="AA634" s="365" t="str">
        <f>'Kalkulace a Porovnání'!AA634</f>
        <v>-</v>
      </c>
      <c r="AB634" s="365" t="str">
        <f>'Kalkulace a Porovnání'!AB634</f>
        <v xml:space="preserve"> </v>
      </c>
      <c r="AC634" s="183"/>
      <c r="AD634" s="547"/>
      <c r="AG634" s="547"/>
      <c r="AH634" s="547"/>
      <c r="AI634" s="547"/>
      <c r="AJ634" s="547"/>
      <c r="AK634" s="547"/>
      <c r="AL634" s="183"/>
    </row>
    <row r="635" spans="2:38" x14ac:dyDescent="0.25">
      <c r="B635" s="13" t="s">
        <v>74</v>
      </c>
      <c r="C635" s="13" t="s">
        <v>105</v>
      </c>
      <c r="D635" s="941" t="str">
        <f>'Kalkulace a Porovnání'!D635</f>
        <v/>
      </c>
      <c r="E635" s="942"/>
      <c r="F635" s="942"/>
      <c r="G635" s="942"/>
      <c r="H635" s="943"/>
      <c r="K635" s="13" t="s">
        <v>74</v>
      </c>
      <c r="L635" s="13" t="s">
        <v>105</v>
      </c>
      <c r="M635" s="941" t="str">
        <f>'Kalkulace a Porovnání'!M635</f>
        <v/>
      </c>
      <c r="N635" s="942"/>
      <c r="O635" s="942"/>
      <c r="P635" s="942"/>
      <c r="Q635" s="943"/>
      <c r="T635" s="13" t="s">
        <v>74</v>
      </c>
      <c r="U635" s="13" t="s">
        <v>105</v>
      </c>
      <c r="V635" s="949" t="str">
        <f>'Kalkulace a Porovnání'!V635</f>
        <v/>
      </c>
      <c r="W635" s="738"/>
      <c r="X635" s="738"/>
      <c r="Y635" s="738"/>
      <c r="Z635" s="738"/>
      <c r="AA635" s="738"/>
      <c r="AB635" s="738"/>
      <c r="AC635" s="183"/>
      <c r="AD635" s="547"/>
      <c r="AG635" s="342"/>
      <c r="AH635" s="342"/>
      <c r="AI635" s="342"/>
      <c r="AJ635" s="342"/>
      <c r="AK635" s="547"/>
      <c r="AL635" s="183"/>
    </row>
    <row r="636" spans="2:38" x14ac:dyDescent="0.25">
      <c r="B636" s="13" t="s">
        <v>100</v>
      </c>
      <c r="C636" s="13" t="s">
        <v>106</v>
      </c>
      <c r="D636" s="941" t="str">
        <f>'Kalkulace a Porovnání'!D636</f>
        <v/>
      </c>
      <c r="E636" s="942"/>
      <c r="F636" s="942"/>
      <c r="G636" s="942"/>
      <c r="H636" s="943"/>
      <c r="K636" s="13" t="s">
        <v>100</v>
      </c>
      <c r="L636" s="13" t="s">
        <v>106</v>
      </c>
      <c r="M636" s="941" t="str">
        <f>'Kalkulace a Porovnání'!M636</f>
        <v/>
      </c>
      <c r="N636" s="942"/>
      <c r="O636" s="942"/>
      <c r="P636" s="942"/>
      <c r="Q636" s="943"/>
      <c r="T636" s="13" t="s">
        <v>100</v>
      </c>
      <c r="U636" s="13" t="s">
        <v>106</v>
      </c>
      <c r="V636" s="949" t="str">
        <f>'Kalkulace a Porovnání'!V636</f>
        <v/>
      </c>
      <c r="W636" s="738"/>
      <c r="X636" s="738"/>
      <c r="Y636" s="738"/>
      <c r="Z636" s="738"/>
      <c r="AA636" s="738"/>
      <c r="AB636" s="738"/>
      <c r="AC636" s="183"/>
      <c r="AD636" s="547"/>
      <c r="AG636" s="342"/>
      <c r="AH636" s="342"/>
      <c r="AI636" s="342"/>
      <c r="AJ636" s="342"/>
      <c r="AK636" s="547"/>
      <c r="AL636" s="183"/>
    </row>
    <row r="637" spans="2:38" x14ac:dyDescent="0.25">
      <c r="B637" s="13" t="s">
        <v>101</v>
      </c>
      <c r="C637" s="13" t="s">
        <v>107</v>
      </c>
      <c r="D637" s="941" t="str">
        <f>'Kalkulace a Porovnání'!D637</f>
        <v xml:space="preserve">Město Kraslice, IČ </v>
      </c>
      <c r="E637" s="942"/>
      <c r="F637" s="942"/>
      <c r="G637" s="942"/>
      <c r="H637" s="943"/>
      <c r="K637" s="13" t="s">
        <v>101</v>
      </c>
      <c r="L637" s="13" t="s">
        <v>107</v>
      </c>
      <c r="M637" s="941" t="str">
        <f>'Kalkulace a Porovnání'!M637</f>
        <v xml:space="preserve">Město Kraslice, IČ </v>
      </c>
      <c r="N637" s="942"/>
      <c r="O637" s="942"/>
      <c r="P637" s="942"/>
      <c r="Q637" s="943"/>
      <c r="T637" s="13" t="s">
        <v>101</v>
      </c>
      <c r="U637" s="13" t="s">
        <v>107</v>
      </c>
      <c r="V637" s="949" t="str">
        <f>'Kalkulace a Porovnání'!V637</f>
        <v xml:space="preserve">Město Kraslice, IČ </v>
      </c>
      <c r="W637" s="738"/>
      <c r="X637" s="738"/>
      <c r="Y637" s="738"/>
      <c r="Z637" s="738"/>
      <c r="AA637" s="738"/>
      <c r="AB637" s="738"/>
      <c r="AC637" s="183"/>
      <c r="AD637" s="547"/>
      <c r="AG637" s="342"/>
      <c r="AH637" s="342"/>
      <c r="AI637" s="342"/>
      <c r="AJ637" s="342"/>
      <c r="AK637" s="547"/>
      <c r="AL637" s="183"/>
    </row>
    <row r="638" spans="2:38" x14ac:dyDescent="0.25">
      <c r="B638" s="13" t="s">
        <v>102</v>
      </c>
      <c r="C638" s="13" t="s">
        <v>109</v>
      </c>
      <c r="D638" s="941" t="str">
        <f>'Kalkulace a Porovnání'!D638</f>
        <v>[vyplnit]</v>
      </c>
      <c r="E638" s="942"/>
      <c r="F638" s="942"/>
      <c r="G638" s="942"/>
      <c r="H638" s="943"/>
      <c r="K638" s="13" t="s">
        <v>102</v>
      </c>
      <c r="L638" s="13" t="s">
        <v>109</v>
      </c>
      <c r="M638" s="941" t="str">
        <f>'Kalkulace a Porovnání'!M638</f>
        <v xml:space="preserve"> </v>
      </c>
      <c r="N638" s="942"/>
      <c r="O638" s="942"/>
      <c r="P638" s="942"/>
      <c r="Q638" s="943"/>
      <c r="T638" s="13" t="s">
        <v>102</v>
      </c>
      <c r="U638" s="13" t="s">
        <v>109</v>
      </c>
      <c r="V638" s="949" t="str">
        <f>'Kalkulace a Porovnání'!V638</f>
        <v xml:space="preserve"> </v>
      </c>
      <c r="W638" s="738"/>
      <c r="X638" s="738"/>
      <c r="Y638" s="738"/>
      <c r="Z638" s="738"/>
      <c r="AA638" s="738"/>
      <c r="AB638" s="738"/>
      <c r="AC638" s="183"/>
      <c r="AD638" s="547"/>
      <c r="AG638" s="342"/>
      <c r="AH638" s="342"/>
      <c r="AI638" s="342"/>
      <c r="AJ638" s="342"/>
      <c r="AK638" s="547"/>
      <c r="AL638" s="183"/>
    </row>
    <row r="639" spans="2:38" x14ac:dyDescent="0.25">
      <c r="B639" s="13" t="s">
        <v>103</v>
      </c>
      <c r="C639" s="13" t="s">
        <v>108</v>
      </c>
      <c r="D639" s="941" t="str">
        <f>'Kalkulace a Porovnání'!D639</f>
        <v>[vyplnit]</v>
      </c>
      <c r="E639" s="942"/>
      <c r="F639" s="942"/>
      <c r="G639" s="942"/>
      <c r="H639" s="943"/>
      <c r="K639" s="13" t="s">
        <v>103</v>
      </c>
      <c r="L639" s="13" t="s">
        <v>108</v>
      </c>
      <c r="M639" s="941" t="str">
        <f>'Kalkulace a Porovnání'!M639</f>
        <v xml:space="preserve"> </v>
      </c>
      <c r="N639" s="942"/>
      <c r="O639" s="942"/>
      <c r="P639" s="942"/>
      <c r="Q639" s="943"/>
      <c r="T639" s="13" t="s">
        <v>103</v>
      </c>
      <c r="U639" s="13" t="s">
        <v>108</v>
      </c>
      <c r="V639" s="949" t="str">
        <f>'Kalkulace a Porovnání'!V639</f>
        <v xml:space="preserve"> </v>
      </c>
      <c r="W639" s="738"/>
      <c r="X639" s="738"/>
      <c r="Y639" s="738"/>
      <c r="Z639" s="738"/>
      <c r="AA639" s="738"/>
      <c r="AB639" s="738"/>
      <c r="AC639" s="183"/>
      <c r="AD639" s="547"/>
      <c r="AG639" s="342"/>
      <c r="AH639" s="342"/>
      <c r="AI639" s="342"/>
      <c r="AJ639" s="342"/>
      <c r="AK639" s="547"/>
      <c r="AL639" s="183"/>
    </row>
    <row r="640" spans="2:38" x14ac:dyDescent="0.25">
      <c r="B640" s="13" t="s">
        <v>104</v>
      </c>
      <c r="C640" s="13" t="s">
        <v>110</v>
      </c>
      <c r="D640" s="941" t="str">
        <f>'Kalkulace a Porovnání'!D640</f>
        <v>[vyplnit]</v>
      </c>
      <c r="E640" s="942"/>
      <c r="F640" s="942"/>
      <c r="G640" s="942"/>
      <c r="H640" s="943"/>
      <c r="K640" s="13" t="s">
        <v>104</v>
      </c>
      <c r="L640" s="13" t="s">
        <v>110</v>
      </c>
      <c r="M640" s="941" t="str">
        <f>'Kalkulace a Porovnání'!M640</f>
        <v xml:space="preserve"> </v>
      </c>
      <c r="N640" s="942"/>
      <c r="O640" s="942"/>
      <c r="P640" s="942"/>
      <c r="Q640" s="943"/>
      <c r="T640" s="13" t="s">
        <v>104</v>
      </c>
      <c r="U640" s="13" t="s">
        <v>110</v>
      </c>
      <c r="V640" s="949" t="str">
        <f>'Kalkulace a Porovnání'!V640</f>
        <v xml:space="preserve"> </v>
      </c>
      <c r="W640" s="738"/>
      <c r="X640" s="738"/>
      <c r="Y640" s="738"/>
      <c r="Z640" s="738"/>
      <c r="AA640" s="738"/>
      <c r="AB640" s="738"/>
      <c r="AC640" s="183"/>
      <c r="AD640" s="547"/>
      <c r="AG640" s="342"/>
      <c r="AH640" s="342"/>
      <c r="AI640" s="342"/>
      <c r="AJ640" s="342"/>
      <c r="AK640" s="547"/>
      <c r="AL640" s="183"/>
    </row>
    <row r="641" spans="2:38" x14ac:dyDescent="0.25">
      <c r="AC641" s="183"/>
      <c r="AD641" s="547"/>
      <c r="AG641" s="342"/>
      <c r="AH641" s="342"/>
      <c r="AI641" s="342"/>
      <c r="AJ641" s="342"/>
      <c r="AK641" s="547"/>
      <c r="AL641" s="183"/>
    </row>
    <row r="642" spans="2:38" x14ac:dyDescent="0.25">
      <c r="B642" s="932" t="s">
        <v>5</v>
      </c>
      <c r="C642" s="721" t="s">
        <v>0</v>
      </c>
      <c r="D642" s="722"/>
      <c r="E642" s="722"/>
      <c r="F642" s="722"/>
      <c r="G642" s="722"/>
      <c r="H642" s="725"/>
      <c r="K642" s="932" t="s">
        <v>5</v>
      </c>
      <c r="L642" s="721" t="s">
        <v>0</v>
      </c>
      <c r="M642" s="722"/>
      <c r="N642" s="722"/>
      <c r="O642" s="722"/>
      <c r="P642" s="722"/>
      <c r="Q642" s="725"/>
      <c r="T642" s="932" t="s">
        <v>5</v>
      </c>
      <c r="U642" s="721" t="s">
        <v>0</v>
      </c>
      <c r="V642" s="722"/>
      <c r="W642" s="722"/>
      <c r="X642" s="722"/>
      <c r="Y642" s="722"/>
      <c r="Z642" s="722"/>
      <c r="AA642" s="722"/>
      <c r="AB642" s="725"/>
      <c r="AC642" s="183"/>
      <c r="AD642" s="547"/>
      <c r="AG642" s="342"/>
      <c r="AH642" s="342"/>
      <c r="AI642" s="342"/>
      <c r="AJ642" s="342"/>
      <c r="AK642" s="547"/>
      <c r="AL642" s="183"/>
    </row>
    <row r="643" spans="2:38" x14ac:dyDescent="0.25">
      <c r="B643" s="930"/>
      <c r="C643" s="932" t="s">
        <v>1</v>
      </c>
      <c r="D643" s="929" t="s">
        <v>173</v>
      </c>
      <c r="E643" s="721" t="s">
        <v>3</v>
      </c>
      <c r="F643" s="722"/>
      <c r="G643" s="721" t="s">
        <v>4</v>
      </c>
      <c r="H643" s="725"/>
      <c r="K643" s="930"/>
      <c r="L643" s="932" t="s">
        <v>1</v>
      </c>
      <c r="M643" s="929" t="s">
        <v>173</v>
      </c>
      <c r="N643" s="721" t="s">
        <v>3</v>
      </c>
      <c r="O643" s="722"/>
      <c r="P643" s="721" t="s">
        <v>4</v>
      </c>
      <c r="Q643" s="725"/>
      <c r="T643" s="930"/>
      <c r="U643" s="932" t="s">
        <v>1</v>
      </c>
      <c r="V643" s="929" t="s">
        <v>173</v>
      </c>
      <c r="W643" s="721" t="s">
        <v>3</v>
      </c>
      <c r="X643" s="722"/>
      <c r="Y643" s="722"/>
      <c r="Z643" s="721" t="s">
        <v>4</v>
      </c>
      <c r="AA643" s="722"/>
      <c r="AB643" s="725"/>
      <c r="AC643" s="183"/>
      <c r="AD643" s="547"/>
      <c r="AG643" s="342"/>
      <c r="AH643" s="342"/>
      <c r="AI643" s="342"/>
      <c r="AJ643" s="342"/>
      <c r="AK643" s="547"/>
      <c r="AL643" s="183"/>
    </row>
    <row r="644" spans="2:38" x14ac:dyDescent="0.25">
      <c r="B644" s="930"/>
      <c r="C644" s="930"/>
      <c r="D644" s="930"/>
      <c r="E644" s="30">
        <f>'Kalkulace a Porovnání'!E644</f>
        <v>2028</v>
      </c>
      <c r="F644" s="30">
        <f>'Kalkulace a Porovnání'!F644</f>
        <v>2029</v>
      </c>
      <c r="G644" s="30">
        <f>'Kalkulace a Porovnání'!G644</f>
        <v>2028</v>
      </c>
      <c r="H644" s="30">
        <f>'Kalkulace a Porovnání'!H644</f>
        <v>2029</v>
      </c>
      <c r="K644" s="930"/>
      <c r="L644" s="930"/>
      <c r="M644" s="930"/>
      <c r="N644" s="30">
        <f>'Kalkulace a Porovnání'!N644</f>
        <v>2028</v>
      </c>
      <c r="O644" s="30">
        <f>'Kalkulace a Porovnání'!O644</f>
        <v>2029</v>
      </c>
      <c r="P644" s="30">
        <f>'Kalkulace a Porovnání'!P644</f>
        <v>2028</v>
      </c>
      <c r="Q644" s="30">
        <f>'Kalkulace a Porovnání'!Q644</f>
        <v>2029</v>
      </c>
      <c r="T644" s="930"/>
      <c r="U644" s="930"/>
      <c r="V644" s="930"/>
      <c r="W644" s="30">
        <f>'Kalkulace a Porovnání'!W644</f>
        <v>2029</v>
      </c>
      <c r="X644" s="30">
        <f>'Kalkulace a Porovnání'!X644</f>
        <v>2029</v>
      </c>
      <c r="Y644" s="30">
        <f>'Kalkulace a Porovnání'!Y644</f>
        <v>2029</v>
      </c>
      <c r="Z644" s="30">
        <f>'Kalkulace a Porovnání'!Z644</f>
        <v>2029</v>
      </c>
      <c r="AA644" s="30">
        <f>'Kalkulace a Porovnání'!AA644</f>
        <v>2029</v>
      </c>
      <c r="AB644" s="30">
        <f>'Kalkulace a Porovnání'!AB644</f>
        <v>2029</v>
      </c>
      <c r="AC644" s="183"/>
      <c r="AD644" s="547"/>
      <c r="AG644" s="342"/>
      <c r="AH644" s="342"/>
      <c r="AI644" s="342"/>
      <c r="AJ644" s="342"/>
      <c r="AK644" s="547"/>
      <c r="AL644" s="183"/>
    </row>
    <row r="645" spans="2:38" x14ac:dyDescent="0.25">
      <c r="B645" s="931"/>
      <c r="C645" s="931"/>
      <c r="D645" s="931"/>
      <c r="E645" s="7" t="s">
        <v>199</v>
      </c>
      <c r="F645" s="7" t="s">
        <v>114</v>
      </c>
      <c r="G645" s="7" t="s">
        <v>199</v>
      </c>
      <c r="H645" s="19" t="s">
        <v>114</v>
      </c>
      <c r="K645" s="931"/>
      <c r="L645" s="931"/>
      <c r="M645" s="931"/>
      <c r="N645" s="7" t="s">
        <v>199</v>
      </c>
      <c r="O645" s="7" t="s">
        <v>114</v>
      </c>
      <c r="P645" s="7" t="s">
        <v>199</v>
      </c>
      <c r="Q645" s="19" t="s">
        <v>114</v>
      </c>
      <c r="T645" s="931"/>
      <c r="U645" s="931"/>
      <c r="V645" s="931"/>
      <c r="W645" s="7" t="s">
        <v>198</v>
      </c>
      <c r="X645" s="7" t="s">
        <v>114</v>
      </c>
      <c r="Y645" s="7" t="s">
        <v>197</v>
      </c>
      <c r="Z645" s="7" t="s">
        <v>198</v>
      </c>
      <c r="AA645" s="7" t="s">
        <v>114</v>
      </c>
      <c r="AB645" s="19" t="s">
        <v>197</v>
      </c>
      <c r="AC645" s="183"/>
      <c r="AD645" s="547"/>
      <c r="AG645" s="342"/>
      <c r="AH645" s="342"/>
      <c r="AI645" s="342"/>
      <c r="AJ645" s="342"/>
      <c r="AK645" s="547"/>
      <c r="AL645" s="183"/>
    </row>
    <row r="646" spans="2:38" x14ac:dyDescent="0.25">
      <c r="B646" s="11">
        <v>1</v>
      </c>
      <c r="C646" s="11">
        <v>2</v>
      </c>
      <c r="D646" s="11" t="s">
        <v>111</v>
      </c>
      <c r="E646" s="11">
        <v>3</v>
      </c>
      <c r="F646" s="11">
        <v>4</v>
      </c>
      <c r="G646" s="11">
        <v>6</v>
      </c>
      <c r="H646" s="22">
        <v>7</v>
      </c>
      <c r="K646" s="11">
        <v>1</v>
      </c>
      <c r="L646" s="11">
        <v>2</v>
      </c>
      <c r="M646" s="11" t="s">
        <v>111</v>
      </c>
      <c r="N646" s="11">
        <v>3</v>
      </c>
      <c r="O646" s="11">
        <v>4</v>
      </c>
      <c r="P646" s="11">
        <v>6</v>
      </c>
      <c r="Q646" s="22">
        <v>7</v>
      </c>
      <c r="T646" s="11">
        <v>1</v>
      </c>
      <c r="U646" s="11">
        <v>2</v>
      </c>
      <c r="V646" s="11" t="s">
        <v>111</v>
      </c>
      <c r="W646" s="11">
        <v>3</v>
      </c>
      <c r="X646" s="11">
        <v>4</v>
      </c>
      <c r="Y646" s="11">
        <v>5</v>
      </c>
      <c r="Z646" s="11">
        <v>6</v>
      </c>
      <c r="AA646" s="11">
        <v>7</v>
      </c>
      <c r="AB646" s="22">
        <v>8</v>
      </c>
      <c r="AC646" s="183"/>
      <c r="AD646" s="547"/>
      <c r="AG646" s="342"/>
      <c r="AH646" s="342"/>
      <c r="AI646" s="342"/>
      <c r="AJ646" s="342"/>
      <c r="AK646" s="547"/>
      <c r="AL646" s="183"/>
    </row>
    <row r="647" spans="2:38" x14ac:dyDescent="0.25">
      <c r="B647" s="9" t="s">
        <v>8</v>
      </c>
      <c r="C647" s="10" t="s">
        <v>9</v>
      </c>
      <c r="D647" s="11" t="s">
        <v>10</v>
      </c>
      <c r="E647" s="46">
        <f>'Kalkulace a Porovnání'!E647</f>
        <v>0</v>
      </c>
      <c r="F647" s="46">
        <f>'Kalkulace a Porovnání'!F647</f>
        <v>0</v>
      </c>
      <c r="G647" s="46">
        <f>'Kalkulace a Porovnání'!G647</f>
        <v>0</v>
      </c>
      <c r="H647" s="98">
        <f>'Kalkulace a Porovnání'!H647</f>
        <v>0</v>
      </c>
      <c r="K647" s="9" t="s">
        <v>8</v>
      </c>
      <c r="L647" s="10" t="s">
        <v>9</v>
      </c>
      <c r="M647" s="11" t="s">
        <v>10</v>
      </c>
      <c r="N647" s="46">
        <f>'Kalkulace a Porovnání'!N647</f>
        <v>0</v>
      </c>
      <c r="O647" s="46">
        <f>'Kalkulace a Porovnání'!O647</f>
        <v>0</v>
      </c>
      <c r="P647" s="46">
        <f>'Kalkulace a Porovnání'!P647</f>
        <v>0</v>
      </c>
      <c r="Q647" s="98">
        <f>'Kalkulace a Porovnání'!Q647</f>
        <v>0</v>
      </c>
      <c r="T647" s="9" t="s">
        <v>8</v>
      </c>
      <c r="U647" s="10" t="s">
        <v>9</v>
      </c>
      <c r="V647" s="11" t="s">
        <v>10</v>
      </c>
      <c r="W647" s="46">
        <f>'Kalkulace a Porovnání'!W647</f>
        <v>0</v>
      </c>
      <c r="X647" s="46">
        <f>'Kalkulace a Porovnání'!X647</f>
        <v>0</v>
      </c>
      <c r="Y647" s="46">
        <f>'Kalkulace a Porovnání'!Y647</f>
        <v>0</v>
      </c>
      <c r="Z647" s="46">
        <f>'Kalkulace a Porovnání'!Z647</f>
        <v>0</v>
      </c>
      <c r="AA647" s="46">
        <f>'Kalkulace a Porovnání'!AA647</f>
        <v>0</v>
      </c>
      <c r="AB647" s="98">
        <f>'Kalkulace a Porovnání'!AB647</f>
        <v>0</v>
      </c>
      <c r="AC647" s="183"/>
      <c r="AD647" s="547"/>
      <c r="AG647" s="342"/>
      <c r="AH647" s="342"/>
      <c r="AI647" s="342"/>
      <c r="AJ647" s="342"/>
      <c r="AK647" s="547"/>
      <c r="AL647" s="183"/>
    </row>
    <row r="648" spans="2:38" x14ac:dyDescent="0.25">
      <c r="B648" s="12" t="s">
        <v>11</v>
      </c>
      <c r="C648" s="13" t="s">
        <v>12</v>
      </c>
      <c r="D648" s="3" t="s">
        <v>10</v>
      </c>
      <c r="E648" s="49">
        <f>'Kalkulace a Porovnání'!E648</f>
        <v>0</v>
      </c>
      <c r="F648" s="49">
        <f>'Kalkulace a Porovnání'!F648</f>
        <v>0</v>
      </c>
      <c r="G648" s="49">
        <f>'Kalkulace a Porovnání'!G648</f>
        <v>0</v>
      </c>
      <c r="H648" s="32">
        <f>'Kalkulace a Porovnání'!H648</f>
        <v>0</v>
      </c>
      <c r="K648" s="12" t="s">
        <v>11</v>
      </c>
      <c r="L648" s="13" t="s">
        <v>12</v>
      </c>
      <c r="M648" s="3" t="s">
        <v>10</v>
      </c>
      <c r="N648" s="49">
        <f>'Kalkulace a Porovnání'!N648</f>
        <v>0</v>
      </c>
      <c r="O648" s="49">
        <f>'Kalkulace a Porovnání'!O648</f>
        <v>0</v>
      </c>
      <c r="P648" s="49">
        <f>'Kalkulace a Porovnání'!P648</f>
        <v>0</v>
      </c>
      <c r="Q648" s="32">
        <f>'Kalkulace a Porovnání'!Q648</f>
        <v>0</v>
      </c>
      <c r="T648" s="12" t="s">
        <v>11</v>
      </c>
      <c r="U648" s="13" t="s">
        <v>12</v>
      </c>
      <c r="V648" s="3" t="s">
        <v>10</v>
      </c>
      <c r="W648" s="49">
        <f>'Kalkulace a Porovnání'!W648</f>
        <v>0</v>
      </c>
      <c r="X648" s="49">
        <f>'Kalkulace a Porovnání'!X648</f>
        <v>0</v>
      </c>
      <c r="Y648" s="49">
        <f>'Kalkulace a Porovnání'!Y648</f>
        <v>0</v>
      </c>
      <c r="Z648" s="49">
        <f>'Kalkulace a Porovnání'!Z648</f>
        <v>0</v>
      </c>
      <c r="AA648" s="49">
        <f>'Kalkulace a Porovnání'!AA648</f>
        <v>0</v>
      </c>
      <c r="AB648" s="32">
        <f>'Kalkulace a Porovnání'!AB648</f>
        <v>0</v>
      </c>
      <c r="AC648" s="183"/>
      <c r="AD648" s="547"/>
      <c r="AG648" s="342"/>
      <c r="AH648" s="342"/>
      <c r="AI648" s="342"/>
      <c r="AJ648" s="342"/>
      <c r="AK648" s="547"/>
      <c r="AL648" s="183"/>
    </row>
    <row r="649" spans="2:38" x14ac:dyDescent="0.25">
      <c r="B649" s="12" t="s">
        <v>13</v>
      </c>
      <c r="C649" s="12" t="s">
        <v>14</v>
      </c>
      <c r="D649" s="3" t="s">
        <v>10</v>
      </c>
      <c r="E649" s="49">
        <f>'Kalkulace a Porovnání'!E649</f>
        <v>0</v>
      </c>
      <c r="F649" s="49">
        <f>'Kalkulace a Porovnání'!F649</f>
        <v>0</v>
      </c>
      <c r="G649" s="49">
        <f>'Kalkulace a Porovnání'!G649</f>
        <v>0</v>
      </c>
      <c r="H649" s="32">
        <f>'Kalkulace a Porovnání'!H649</f>
        <v>0</v>
      </c>
      <c r="K649" s="12" t="s">
        <v>13</v>
      </c>
      <c r="L649" s="12" t="s">
        <v>14</v>
      </c>
      <c r="M649" s="3" t="s">
        <v>10</v>
      </c>
      <c r="N649" s="49">
        <f>'Kalkulace a Porovnání'!N649</f>
        <v>0</v>
      </c>
      <c r="O649" s="49">
        <f>'Kalkulace a Porovnání'!O649</f>
        <v>0</v>
      </c>
      <c r="P649" s="49">
        <f>'Kalkulace a Porovnání'!P649</f>
        <v>0</v>
      </c>
      <c r="Q649" s="32">
        <f>'Kalkulace a Porovnání'!Q649</f>
        <v>0</v>
      </c>
      <c r="T649" s="12" t="s">
        <v>13</v>
      </c>
      <c r="U649" s="12" t="s">
        <v>14</v>
      </c>
      <c r="V649" s="3" t="s">
        <v>10</v>
      </c>
      <c r="W649" s="49">
        <f>'Kalkulace a Porovnání'!W649</f>
        <v>0</v>
      </c>
      <c r="X649" s="49">
        <f>'Kalkulace a Porovnání'!X649</f>
        <v>0</v>
      </c>
      <c r="Y649" s="49">
        <f>'Kalkulace a Porovnání'!Y649</f>
        <v>0</v>
      </c>
      <c r="Z649" s="49">
        <f>'Kalkulace a Porovnání'!Z649</f>
        <v>0</v>
      </c>
      <c r="AA649" s="49">
        <f>'Kalkulace a Porovnání'!AA649</f>
        <v>0</v>
      </c>
      <c r="AB649" s="32">
        <f>'Kalkulace a Porovnání'!AB649</f>
        <v>0</v>
      </c>
      <c r="AC649" s="183"/>
      <c r="AD649" s="547"/>
      <c r="AG649" s="342"/>
      <c r="AH649" s="342"/>
      <c r="AI649" s="342"/>
      <c r="AJ649" s="342"/>
      <c r="AK649" s="547"/>
      <c r="AL649" s="183"/>
    </row>
    <row r="650" spans="2:38" x14ac:dyDescent="0.25">
      <c r="B650" s="12" t="s">
        <v>15</v>
      </c>
      <c r="C650" s="13" t="s">
        <v>16</v>
      </c>
      <c r="D650" s="3" t="s">
        <v>10</v>
      </c>
      <c r="E650" s="49">
        <f>'Kalkulace a Porovnání'!E650</f>
        <v>0</v>
      </c>
      <c r="F650" s="49">
        <f>'Kalkulace a Porovnání'!F650</f>
        <v>0</v>
      </c>
      <c r="G650" s="49">
        <f>'Kalkulace a Porovnání'!G650</f>
        <v>0</v>
      </c>
      <c r="H650" s="32">
        <f>'Kalkulace a Porovnání'!H650</f>
        <v>0</v>
      </c>
      <c r="K650" s="12" t="s">
        <v>15</v>
      </c>
      <c r="L650" s="13" t="s">
        <v>16</v>
      </c>
      <c r="M650" s="3" t="s">
        <v>10</v>
      </c>
      <c r="N650" s="49">
        <f>'Kalkulace a Porovnání'!N650</f>
        <v>0</v>
      </c>
      <c r="O650" s="49">
        <f>'Kalkulace a Porovnání'!O650</f>
        <v>0</v>
      </c>
      <c r="P650" s="49">
        <f>'Kalkulace a Porovnání'!P650</f>
        <v>0</v>
      </c>
      <c r="Q650" s="32">
        <f>'Kalkulace a Porovnání'!Q650</f>
        <v>0</v>
      </c>
      <c r="T650" s="12" t="s">
        <v>15</v>
      </c>
      <c r="U650" s="13" t="s">
        <v>16</v>
      </c>
      <c r="V650" s="3" t="s">
        <v>10</v>
      </c>
      <c r="W650" s="49">
        <f>'Kalkulace a Porovnání'!W650</f>
        <v>0</v>
      </c>
      <c r="X650" s="49">
        <f>'Kalkulace a Porovnání'!X650</f>
        <v>0</v>
      </c>
      <c r="Y650" s="49">
        <f>'Kalkulace a Porovnání'!Y650</f>
        <v>0</v>
      </c>
      <c r="Z650" s="49">
        <f>'Kalkulace a Porovnání'!Z650</f>
        <v>0</v>
      </c>
      <c r="AA650" s="49">
        <f>'Kalkulace a Porovnání'!AA650</f>
        <v>0</v>
      </c>
      <c r="AB650" s="32">
        <f>'Kalkulace a Porovnání'!AB650</f>
        <v>0</v>
      </c>
      <c r="AC650" s="183"/>
      <c r="AD650" s="547"/>
      <c r="AG650" s="342"/>
      <c r="AH650" s="342"/>
      <c r="AI650" s="342"/>
      <c r="AJ650" s="342"/>
      <c r="AK650" s="547"/>
      <c r="AL650" s="183"/>
    </row>
    <row r="651" spans="2:38" x14ac:dyDescent="0.25">
      <c r="B651" s="12" t="s">
        <v>17</v>
      </c>
      <c r="C651" s="13" t="s">
        <v>18</v>
      </c>
      <c r="D651" s="3" t="s">
        <v>10</v>
      </c>
      <c r="E651" s="49">
        <f>'Kalkulace a Porovnání'!E651</f>
        <v>0</v>
      </c>
      <c r="F651" s="49">
        <f>'Kalkulace a Porovnání'!F651</f>
        <v>0</v>
      </c>
      <c r="G651" s="49">
        <f>'Kalkulace a Porovnání'!G651</f>
        <v>0</v>
      </c>
      <c r="H651" s="32">
        <f>'Kalkulace a Porovnání'!H651</f>
        <v>0</v>
      </c>
      <c r="K651" s="12" t="s">
        <v>17</v>
      </c>
      <c r="L651" s="13" t="s">
        <v>18</v>
      </c>
      <c r="M651" s="3" t="s">
        <v>10</v>
      </c>
      <c r="N651" s="49">
        <f>'Kalkulace a Porovnání'!N651</f>
        <v>0</v>
      </c>
      <c r="O651" s="49">
        <f>'Kalkulace a Porovnání'!O651</f>
        <v>0</v>
      </c>
      <c r="P651" s="49">
        <f>'Kalkulace a Porovnání'!P651</f>
        <v>0</v>
      </c>
      <c r="Q651" s="32">
        <f>'Kalkulace a Porovnání'!Q651</f>
        <v>0</v>
      </c>
      <c r="T651" s="12" t="s">
        <v>17</v>
      </c>
      <c r="U651" s="13" t="s">
        <v>18</v>
      </c>
      <c r="V651" s="3" t="s">
        <v>10</v>
      </c>
      <c r="W651" s="49">
        <f>'Kalkulace a Porovnání'!W651</f>
        <v>0</v>
      </c>
      <c r="X651" s="49">
        <f>'Kalkulace a Porovnání'!X651</f>
        <v>0</v>
      </c>
      <c r="Y651" s="49">
        <f>'Kalkulace a Porovnání'!Y651</f>
        <v>0</v>
      </c>
      <c r="Z651" s="49">
        <f>'Kalkulace a Porovnání'!Z651</f>
        <v>0</v>
      </c>
      <c r="AA651" s="49">
        <f>'Kalkulace a Porovnání'!AA651</f>
        <v>0</v>
      </c>
      <c r="AB651" s="32">
        <f>'Kalkulace a Porovnání'!AB651</f>
        <v>0</v>
      </c>
      <c r="AC651" s="183"/>
      <c r="AD651" s="547"/>
      <c r="AG651" s="342"/>
      <c r="AH651" s="342"/>
      <c r="AI651" s="342"/>
      <c r="AJ651" s="342"/>
      <c r="AK651" s="547"/>
      <c r="AL651" s="183"/>
    </row>
    <row r="652" spans="2:38" x14ac:dyDescent="0.25">
      <c r="B652" s="9" t="s">
        <v>19</v>
      </c>
      <c r="C652" s="10" t="s">
        <v>20</v>
      </c>
      <c r="D652" s="11" t="s">
        <v>10</v>
      </c>
      <c r="E652" s="46">
        <f>'Kalkulace a Porovnání'!E652</f>
        <v>0</v>
      </c>
      <c r="F652" s="46">
        <f>'Kalkulace a Porovnání'!F652</f>
        <v>0</v>
      </c>
      <c r="G652" s="46">
        <f>'Kalkulace a Porovnání'!G652</f>
        <v>0</v>
      </c>
      <c r="H652" s="98">
        <f>'Kalkulace a Porovnání'!H652</f>
        <v>0</v>
      </c>
      <c r="K652" s="9" t="s">
        <v>19</v>
      </c>
      <c r="L652" s="10" t="s">
        <v>20</v>
      </c>
      <c r="M652" s="11" t="s">
        <v>10</v>
      </c>
      <c r="N652" s="46">
        <f>'Kalkulace a Porovnání'!N652</f>
        <v>0</v>
      </c>
      <c r="O652" s="46">
        <f>'Kalkulace a Porovnání'!O652</f>
        <v>0</v>
      </c>
      <c r="P652" s="46">
        <f>'Kalkulace a Porovnání'!P652</f>
        <v>0</v>
      </c>
      <c r="Q652" s="98">
        <f>'Kalkulace a Porovnání'!Q652</f>
        <v>0</v>
      </c>
      <c r="T652" s="9" t="s">
        <v>19</v>
      </c>
      <c r="U652" s="10" t="s">
        <v>20</v>
      </c>
      <c r="V652" s="11" t="s">
        <v>10</v>
      </c>
      <c r="W652" s="46">
        <f>'Kalkulace a Porovnání'!W652</f>
        <v>0</v>
      </c>
      <c r="X652" s="46">
        <f>'Kalkulace a Porovnání'!X652</f>
        <v>0</v>
      </c>
      <c r="Y652" s="46">
        <f>'Kalkulace a Porovnání'!Y652</f>
        <v>0</v>
      </c>
      <c r="Z652" s="46">
        <f>'Kalkulace a Porovnání'!Z652</f>
        <v>0</v>
      </c>
      <c r="AA652" s="46">
        <f>'Kalkulace a Porovnání'!AA652</f>
        <v>0</v>
      </c>
      <c r="AB652" s="98">
        <f>'Kalkulace a Porovnání'!AB652</f>
        <v>0</v>
      </c>
      <c r="AC652" s="183"/>
      <c r="AD652" s="547"/>
      <c r="AG652" s="342"/>
      <c r="AH652" s="342"/>
      <c r="AI652" s="342"/>
      <c r="AJ652" s="342"/>
      <c r="AK652" s="547"/>
      <c r="AL652" s="183"/>
    </row>
    <row r="653" spans="2:38" x14ac:dyDescent="0.25">
      <c r="B653" s="12" t="s">
        <v>21</v>
      </c>
      <c r="C653" s="12" t="s">
        <v>22</v>
      </c>
      <c r="D653" s="3" t="s">
        <v>10</v>
      </c>
      <c r="E653" s="49">
        <f>'Kalkulace a Porovnání'!E653</f>
        <v>0</v>
      </c>
      <c r="F653" s="49">
        <f>'Kalkulace a Porovnání'!F653</f>
        <v>0</v>
      </c>
      <c r="G653" s="49">
        <f>'Kalkulace a Porovnání'!G653</f>
        <v>0</v>
      </c>
      <c r="H653" s="32">
        <f>'Kalkulace a Porovnání'!H653</f>
        <v>0</v>
      </c>
      <c r="K653" s="12" t="s">
        <v>21</v>
      </c>
      <c r="L653" s="12" t="s">
        <v>22</v>
      </c>
      <c r="M653" s="3" t="s">
        <v>10</v>
      </c>
      <c r="N653" s="49">
        <f>'Kalkulace a Porovnání'!N653</f>
        <v>0</v>
      </c>
      <c r="O653" s="49">
        <f>'Kalkulace a Porovnání'!O653</f>
        <v>0</v>
      </c>
      <c r="P653" s="49">
        <f>'Kalkulace a Porovnání'!P653</f>
        <v>0</v>
      </c>
      <c r="Q653" s="32">
        <f>'Kalkulace a Porovnání'!Q653</f>
        <v>0</v>
      </c>
      <c r="T653" s="12" t="s">
        <v>21</v>
      </c>
      <c r="U653" s="12" t="s">
        <v>22</v>
      </c>
      <c r="V653" s="3" t="s">
        <v>10</v>
      </c>
      <c r="W653" s="49">
        <f>'Kalkulace a Porovnání'!W653</f>
        <v>0</v>
      </c>
      <c r="X653" s="49">
        <f>'Kalkulace a Porovnání'!X653</f>
        <v>0</v>
      </c>
      <c r="Y653" s="49">
        <f>'Kalkulace a Porovnání'!Y653</f>
        <v>0</v>
      </c>
      <c r="Z653" s="49">
        <f>'Kalkulace a Porovnání'!Z653</f>
        <v>0</v>
      </c>
      <c r="AA653" s="49">
        <f>'Kalkulace a Porovnání'!AA653</f>
        <v>0</v>
      </c>
      <c r="AB653" s="32">
        <f>'Kalkulace a Porovnání'!AB653</f>
        <v>0</v>
      </c>
      <c r="AC653" s="183"/>
      <c r="AD653" s="547"/>
      <c r="AG653" s="342"/>
      <c r="AH653" s="342"/>
      <c r="AI653" s="342"/>
      <c r="AJ653" s="342"/>
      <c r="AK653" s="547"/>
      <c r="AL653" s="183"/>
    </row>
    <row r="654" spans="2:38" x14ac:dyDescent="0.25">
      <c r="B654" s="12" t="s">
        <v>23</v>
      </c>
      <c r="C654" s="12" t="s">
        <v>24</v>
      </c>
      <c r="D654" s="3" t="s">
        <v>10</v>
      </c>
      <c r="E654" s="49">
        <f>'Kalkulace a Porovnání'!E654</f>
        <v>0</v>
      </c>
      <c r="F654" s="49">
        <f>'Kalkulace a Porovnání'!F654</f>
        <v>0</v>
      </c>
      <c r="G654" s="49">
        <f>'Kalkulace a Porovnání'!G654</f>
        <v>0</v>
      </c>
      <c r="H654" s="32">
        <f>'Kalkulace a Porovnání'!H654</f>
        <v>0</v>
      </c>
      <c r="K654" s="12" t="s">
        <v>23</v>
      </c>
      <c r="L654" s="12" t="s">
        <v>24</v>
      </c>
      <c r="M654" s="3" t="s">
        <v>10</v>
      </c>
      <c r="N654" s="49">
        <f>'Kalkulace a Porovnání'!N654</f>
        <v>0</v>
      </c>
      <c r="O654" s="49">
        <f>'Kalkulace a Porovnání'!O654</f>
        <v>0</v>
      </c>
      <c r="P654" s="49">
        <f>'Kalkulace a Porovnání'!P654</f>
        <v>0</v>
      </c>
      <c r="Q654" s="32">
        <f>'Kalkulace a Porovnání'!Q654</f>
        <v>0</v>
      </c>
      <c r="T654" s="12" t="s">
        <v>23</v>
      </c>
      <c r="U654" s="12" t="s">
        <v>24</v>
      </c>
      <c r="V654" s="3" t="s">
        <v>10</v>
      </c>
      <c r="W654" s="49">
        <f>'Kalkulace a Porovnání'!W654</f>
        <v>0</v>
      </c>
      <c r="X654" s="49">
        <f>'Kalkulace a Porovnání'!X654</f>
        <v>0</v>
      </c>
      <c r="Y654" s="49">
        <f>'Kalkulace a Porovnání'!Y654</f>
        <v>0</v>
      </c>
      <c r="Z654" s="49">
        <f>'Kalkulace a Porovnání'!Z654</f>
        <v>0</v>
      </c>
      <c r="AA654" s="49">
        <f>'Kalkulace a Porovnání'!AA654</f>
        <v>0</v>
      </c>
      <c r="AB654" s="32">
        <f>'Kalkulace a Porovnání'!AB654</f>
        <v>0</v>
      </c>
      <c r="AC654" s="183"/>
      <c r="AD654" s="547"/>
      <c r="AG654" s="342"/>
      <c r="AH654" s="342"/>
      <c r="AI654" s="342"/>
      <c r="AJ654" s="342"/>
      <c r="AK654" s="547"/>
      <c r="AL654" s="183"/>
    </row>
    <row r="655" spans="2:38" x14ac:dyDescent="0.25">
      <c r="B655" s="9" t="s">
        <v>25</v>
      </c>
      <c r="C655" s="10" t="s">
        <v>26</v>
      </c>
      <c r="D655" s="11" t="s">
        <v>10</v>
      </c>
      <c r="E655" s="46">
        <f>'Kalkulace a Porovnání'!E655</f>
        <v>0</v>
      </c>
      <c r="F655" s="46">
        <f>'Kalkulace a Porovnání'!F655</f>
        <v>0</v>
      </c>
      <c r="G655" s="46">
        <f>'Kalkulace a Porovnání'!G655</f>
        <v>0</v>
      </c>
      <c r="H655" s="98">
        <f>'Kalkulace a Porovnání'!H655</f>
        <v>0</v>
      </c>
      <c r="K655" s="9" t="s">
        <v>25</v>
      </c>
      <c r="L655" s="10" t="s">
        <v>26</v>
      </c>
      <c r="M655" s="11" t="s">
        <v>10</v>
      </c>
      <c r="N655" s="46">
        <f>'Kalkulace a Porovnání'!N655</f>
        <v>0</v>
      </c>
      <c r="O655" s="46">
        <f>'Kalkulace a Porovnání'!O655</f>
        <v>0</v>
      </c>
      <c r="P655" s="46">
        <f>'Kalkulace a Porovnání'!P655</f>
        <v>0</v>
      </c>
      <c r="Q655" s="98">
        <f>'Kalkulace a Porovnání'!Q655</f>
        <v>0</v>
      </c>
      <c r="T655" s="9" t="s">
        <v>25</v>
      </c>
      <c r="U655" s="10" t="s">
        <v>26</v>
      </c>
      <c r="V655" s="11" t="s">
        <v>10</v>
      </c>
      <c r="W655" s="46">
        <f>'Kalkulace a Porovnání'!W655</f>
        <v>0</v>
      </c>
      <c r="X655" s="46">
        <f>'Kalkulace a Porovnání'!X655</f>
        <v>0</v>
      </c>
      <c r="Y655" s="46">
        <f>'Kalkulace a Porovnání'!Y655</f>
        <v>0</v>
      </c>
      <c r="Z655" s="46">
        <f>'Kalkulace a Porovnání'!Z655</f>
        <v>0</v>
      </c>
      <c r="AA655" s="46">
        <f>'Kalkulace a Porovnání'!AA655</f>
        <v>0</v>
      </c>
      <c r="AB655" s="98">
        <f>'Kalkulace a Porovnání'!AB655</f>
        <v>0</v>
      </c>
      <c r="AC655" s="183"/>
      <c r="AD655" s="547"/>
      <c r="AG655" s="342"/>
      <c r="AH655" s="342"/>
      <c r="AI655" s="342"/>
      <c r="AJ655" s="342"/>
      <c r="AK655" s="547"/>
      <c r="AL655" s="183"/>
    </row>
    <row r="656" spans="2:38" x14ac:dyDescent="0.25">
      <c r="B656" s="12" t="s">
        <v>27</v>
      </c>
      <c r="C656" s="13" t="s">
        <v>28</v>
      </c>
      <c r="D656" s="3" t="s">
        <v>10</v>
      </c>
      <c r="E656" s="49">
        <f>'Kalkulace a Porovnání'!E656</f>
        <v>0</v>
      </c>
      <c r="F656" s="49">
        <f>'Kalkulace a Porovnání'!F656</f>
        <v>0</v>
      </c>
      <c r="G656" s="49">
        <f>'Kalkulace a Porovnání'!G656</f>
        <v>0</v>
      </c>
      <c r="H656" s="32">
        <f>'Kalkulace a Porovnání'!H656</f>
        <v>0</v>
      </c>
      <c r="K656" s="12" t="s">
        <v>27</v>
      </c>
      <c r="L656" s="13" t="s">
        <v>28</v>
      </c>
      <c r="M656" s="3" t="s">
        <v>10</v>
      </c>
      <c r="N656" s="49">
        <f>'Kalkulace a Porovnání'!N656</f>
        <v>0</v>
      </c>
      <c r="O656" s="49">
        <f>'Kalkulace a Porovnání'!O656</f>
        <v>0</v>
      </c>
      <c r="P656" s="49">
        <f>'Kalkulace a Porovnání'!P656</f>
        <v>0</v>
      </c>
      <c r="Q656" s="32">
        <f>'Kalkulace a Porovnání'!Q656</f>
        <v>0</v>
      </c>
      <c r="T656" s="12" t="s">
        <v>27</v>
      </c>
      <c r="U656" s="13" t="s">
        <v>28</v>
      </c>
      <c r="V656" s="3" t="s">
        <v>10</v>
      </c>
      <c r="W656" s="49">
        <f>'Kalkulace a Porovnání'!W656</f>
        <v>0</v>
      </c>
      <c r="X656" s="49">
        <f>'Kalkulace a Porovnání'!X656</f>
        <v>0</v>
      </c>
      <c r="Y656" s="49">
        <f>'Kalkulace a Porovnání'!Y656</f>
        <v>0</v>
      </c>
      <c r="Z656" s="49">
        <f>'Kalkulace a Porovnání'!Z656</f>
        <v>0</v>
      </c>
      <c r="AA656" s="49">
        <f>'Kalkulace a Porovnání'!AA656</f>
        <v>0</v>
      </c>
      <c r="AB656" s="32">
        <f>'Kalkulace a Porovnání'!AB656</f>
        <v>0</v>
      </c>
      <c r="AC656" s="183"/>
      <c r="AD656" s="547"/>
      <c r="AG656" s="342"/>
      <c r="AH656" s="342"/>
      <c r="AI656" s="342"/>
      <c r="AJ656" s="342"/>
      <c r="AK656" s="547"/>
      <c r="AL656" s="183"/>
    </row>
    <row r="657" spans="2:38" x14ac:dyDescent="0.25">
      <c r="B657" s="12" t="s">
        <v>29</v>
      </c>
      <c r="C657" s="13" t="s">
        <v>30</v>
      </c>
      <c r="D657" s="3" t="s">
        <v>10</v>
      </c>
      <c r="E657" s="49">
        <f>'Kalkulace a Porovnání'!E657</f>
        <v>0</v>
      </c>
      <c r="F657" s="49">
        <f>'Kalkulace a Porovnání'!F657</f>
        <v>0</v>
      </c>
      <c r="G657" s="49">
        <f>'Kalkulace a Porovnání'!G657</f>
        <v>0</v>
      </c>
      <c r="H657" s="32">
        <f>'Kalkulace a Porovnání'!H657</f>
        <v>0</v>
      </c>
      <c r="K657" s="12" t="s">
        <v>29</v>
      </c>
      <c r="L657" s="13" t="s">
        <v>30</v>
      </c>
      <c r="M657" s="3" t="s">
        <v>10</v>
      </c>
      <c r="N657" s="49">
        <f>'Kalkulace a Porovnání'!N657</f>
        <v>0</v>
      </c>
      <c r="O657" s="49">
        <f>'Kalkulace a Porovnání'!O657</f>
        <v>0</v>
      </c>
      <c r="P657" s="49">
        <f>'Kalkulace a Porovnání'!P657</f>
        <v>0</v>
      </c>
      <c r="Q657" s="32">
        <f>'Kalkulace a Porovnání'!Q657</f>
        <v>0</v>
      </c>
      <c r="T657" s="12" t="s">
        <v>29</v>
      </c>
      <c r="U657" s="13" t="s">
        <v>30</v>
      </c>
      <c r="V657" s="3" t="s">
        <v>10</v>
      </c>
      <c r="W657" s="49">
        <f>'Kalkulace a Porovnání'!W657</f>
        <v>0</v>
      </c>
      <c r="X657" s="49">
        <f>'Kalkulace a Porovnání'!X657</f>
        <v>0</v>
      </c>
      <c r="Y657" s="49">
        <f>'Kalkulace a Porovnání'!Y657</f>
        <v>0</v>
      </c>
      <c r="Z657" s="49">
        <f>'Kalkulace a Porovnání'!Z657</f>
        <v>0</v>
      </c>
      <c r="AA657" s="49">
        <f>'Kalkulace a Porovnání'!AA657</f>
        <v>0</v>
      </c>
      <c r="AB657" s="32">
        <f>'Kalkulace a Porovnání'!AB657</f>
        <v>0</v>
      </c>
      <c r="AC657" s="183"/>
      <c r="AD657" s="547"/>
      <c r="AG657" s="342"/>
      <c r="AH657" s="342"/>
      <c r="AI657" s="342"/>
      <c r="AJ657" s="342"/>
      <c r="AK657" s="547"/>
      <c r="AL657" s="183"/>
    </row>
    <row r="658" spans="2:38" x14ac:dyDescent="0.25">
      <c r="B658" s="9" t="s">
        <v>31</v>
      </c>
      <c r="C658" s="10" t="s">
        <v>32</v>
      </c>
      <c r="D658" s="11" t="s">
        <v>10</v>
      </c>
      <c r="E658" s="46">
        <f>'Kalkulace a Porovnání'!E658</f>
        <v>0</v>
      </c>
      <c r="F658" s="46">
        <f>'Kalkulace a Porovnání'!F658</f>
        <v>0</v>
      </c>
      <c r="G658" s="46">
        <f>'Kalkulace a Porovnání'!G658</f>
        <v>0</v>
      </c>
      <c r="H658" s="98">
        <f>'Kalkulace a Porovnání'!H658</f>
        <v>0</v>
      </c>
      <c r="K658" s="9" t="s">
        <v>31</v>
      </c>
      <c r="L658" s="10" t="s">
        <v>32</v>
      </c>
      <c r="M658" s="11" t="s">
        <v>10</v>
      </c>
      <c r="N658" s="46">
        <f>'Kalkulace a Porovnání'!N658</f>
        <v>0</v>
      </c>
      <c r="O658" s="46">
        <f>'Kalkulace a Porovnání'!O658</f>
        <v>0</v>
      </c>
      <c r="P658" s="46">
        <f>'Kalkulace a Porovnání'!P658</f>
        <v>0</v>
      </c>
      <c r="Q658" s="98">
        <f>'Kalkulace a Porovnání'!Q658</f>
        <v>0</v>
      </c>
      <c r="T658" s="9" t="s">
        <v>31</v>
      </c>
      <c r="U658" s="10" t="s">
        <v>32</v>
      </c>
      <c r="V658" s="11" t="s">
        <v>10</v>
      </c>
      <c r="W658" s="46">
        <f>'Kalkulace a Porovnání'!W658</f>
        <v>0</v>
      </c>
      <c r="X658" s="46">
        <f>'Kalkulace a Porovnání'!X658</f>
        <v>0</v>
      </c>
      <c r="Y658" s="46">
        <f>'Kalkulace a Porovnání'!Y658</f>
        <v>0</v>
      </c>
      <c r="Z658" s="46">
        <f>'Kalkulace a Porovnání'!Z658</f>
        <v>0</v>
      </c>
      <c r="AA658" s="46">
        <f>'Kalkulace a Porovnání'!AA658</f>
        <v>0</v>
      </c>
      <c r="AB658" s="98">
        <f>'Kalkulace a Porovnání'!AB658</f>
        <v>0</v>
      </c>
      <c r="AC658" s="183"/>
      <c r="AD658" s="547"/>
      <c r="AG658" s="342"/>
      <c r="AH658" s="342"/>
      <c r="AI658" s="342"/>
      <c r="AJ658" s="342"/>
      <c r="AK658" s="547"/>
      <c r="AL658" s="183"/>
    </row>
    <row r="659" spans="2:38" x14ac:dyDescent="0.25">
      <c r="B659" s="12" t="s">
        <v>33</v>
      </c>
      <c r="C659" s="21" t="s">
        <v>34</v>
      </c>
      <c r="D659" s="3" t="s">
        <v>10</v>
      </c>
      <c r="E659" s="49">
        <f>'Kalkulace a Porovnání'!E659</f>
        <v>0</v>
      </c>
      <c r="F659" s="49">
        <f>'Kalkulace a Porovnání'!F659</f>
        <v>0</v>
      </c>
      <c r="G659" s="49">
        <f>'Kalkulace a Porovnání'!G659</f>
        <v>0</v>
      </c>
      <c r="H659" s="32">
        <f>'Kalkulace a Porovnání'!H659</f>
        <v>0</v>
      </c>
      <c r="K659" s="12" t="s">
        <v>33</v>
      </c>
      <c r="L659" s="21" t="s">
        <v>34</v>
      </c>
      <c r="M659" s="3" t="s">
        <v>10</v>
      </c>
      <c r="N659" s="49">
        <f>'Kalkulace a Porovnání'!N659</f>
        <v>0</v>
      </c>
      <c r="O659" s="49">
        <f>'Kalkulace a Porovnání'!O659</f>
        <v>0</v>
      </c>
      <c r="P659" s="49">
        <f>'Kalkulace a Porovnání'!P659</f>
        <v>0</v>
      </c>
      <c r="Q659" s="32">
        <f>'Kalkulace a Porovnání'!Q659</f>
        <v>0</v>
      </c>
      <c r="T659" s="12" t="s">
        <v>33</v>
      </c>
      <c r="U659" s="21" t="s">
        <v>34</v>
      </c>
      <c r="V659" s="3" t="s">
        <v>10</v>
      </c>
      <c r="W659" s="49">
        <f>'Kalkulace a Porovnání'!W659</f>
        <v>0</v>
      </c>
      <c r="X659" s="49">
        <f>'Kalkulace a Porovnání'!X659</f>
        <v>0</v>
      </c>
      <c r="Y659" s="49">
        <f>'Kalkulace a Porovnání'!Y659</f>
        <v>0</v>
      </c>
      <c r="Z659" s="49">
        <f>'Kalkulace a Porovnání'!Z659</f>
        <v>0</v>
      </c>
      <c r="AA659" s="49">
        <f>'Kalkulace a Porovnání'!AA659</f>
        <v>0</v>
      </c>
      <c r="AB659" s="32">
        <f>'Kalkulace a Porovnání'!AB659</f>
        <v>0</v>
      </c>
      <c r="AC659" s="183"/>
      <c r="AD659" s="547"/>
      <c r="AG659" s="547"/>
      <c r="AH659" s="547"/>
      <c r="AI659" s="342"/>
      <c r="AJ659" s="342"/>
      <c r="AK659" s="547"/>
      <c r="AL659" s="183"/>
    </row>
    <row r="660" spans="2:38" x14ac:dyDescent="0.25">
      <c r="B660" s="12" t="s">
        <v>35</v>
      </c>
      <c r="C660" s="13" t="s">
        <v>36</v>
      </c>
      <c r="D660" s="3" t="s">
        <v>10</v>
      </c>
      <c r="E660" s="49">
        <f>'Kalkulace a Porovnání'!E660</f>
        <v>0</v>
      </c>
      <c r="F660" s="49">
        <f>'Kalkulace a Porovnání'!F660</f>
        <v>0</v>
      </c>
      <c r="G660" s="49">
        <f>'Kalkulace a Porovnání'!G660</f>
        <v>0</v>
      </c>
      <c r="H660" s="32">
        <f>'Kalkulace a Porovnání'!H660</f>
        <v>0</v>
      </c>
      <c r="K660" s="12" t="s">
        <v>35</v>
      </c>
      <c r="L660" s="13" t="s">
        <v>36</v>
      </c>
      <c r="M660" s="3" t="s">
        <v>10</v>
      </c>
      <c r="N660" s="49">
        <f>'Kalkulace a Porovnání'!N660</f>
        <v>0</v>
      </c>
      <c r="O660" s="49">
        <f>'Kalkulace a Porovnání'!O660</f>
        <v>0</v>
      </c>
      <c r="P660" s="49">
        <f>'Kalkulace a Porovnání'!P660</f>
        <v>0</v>
      </c>
      <c r="Q660" s="32">
        <f>'Kalkulace a Porovnání'!Q660</f>
        <v>0</v>
      </c>
      <c r="T660" s="12" t="s">
        <v>35</v>
      </c>
      <c r="U660" s="13" t="s">
        <v>36</v>
      </c>
      <c r="V660" s="3" t="s">
        <v>10</v>
      </c>
      <c r="W660" s="49">
        <f>'Kalkulace a Porovnání'!W660</f>
        <v>0</v>
      </c>
      <c r="X660" s="49">
        <f>'Kalkulace a Porovnání'!X660</f>
        <v>0</v>
      </c>
      <c r="Y660" s="49">
        <f>'Kalkulace a Porovnání'!Y660</f>
        <v>0</v>
      </c>
      <c r="Z660" s="49">
        <f>'Kalkulace a Porovnání'!Z660</f>
        <v>0</v>
      </c>
      <c r="AA660" s="49">
        <f>'Kalkulace a Porovnání'!AA660</f>
        <v>0</v>
      </c>
      <c r="AB660" s="32">
        <f>'Kalkulace a Porovnání'!AB660</f>
        <v>0</v>
      </c>
      <c r="AC660" s="183"/>
      <c r="AD660" s="547"/>
      <c r="AG660" s="547"/>
      <c r="AH660" s="547"/>
      <c r="AI660" s="342"/>
      <c r="AJ660" s="342"/>
      <c r="AK660" s="547"/>
      <c r="AL660" s="183"/>
    </row>
    <row r="661" spans="2:38" x14ac:dyDescent="0.25">
      <c r="B661" s="12" t="s">
        <v>37</v>
      </c>
      <c r="C661" s="13" t="s">
        <v>38</v>
      </c>
      <c r="D661" s="3" t="s">
        <v>10</v>
      </c>
      <c r="E661" s="49">
        <f>'Kalkulace a Porovnání'!E661</f>
        <v>0</v>
      </c>
      <c r="F661" s="49">
        <f>'Kalkulace a Porovnání'!F661</f>
        <v>0</v>
      </c>
      <c r="G661" s="49">
        <f>'Kalkulace a Porovnání'!G661</f>
        <v>0</v>
      </c>
      <c r="H661" s="32">
        <f>'Kalkulace a Porovnání'!H661</f>
        <v>0</v>
      </c>
      <c r="K661" s="12" t="s">
        <v>37</v>
      </c>
      <c r="L661" s="13" t="s">
        <v>38</v>
      </c>
      <c r="M661" s="3" t="s">
        <v>10</v>
      </c>
      <c r="N661" s="49">
        <f>'Kalkulace a Porovnání'!N661</f>
        <v>0</v>
      </c>
      <c r="O661" s="49">
        <f>'Kalkulace a Porovnání'!O661</f>
        <v>0</v>
      </c>
      <c r="P661" s="49">
        <f>'Kalkulace a Porovnání'!P661</f>
        <v>0</v>
      </c>
      <c r="Q661" s="32">
        <f>'Kalkulace a Porovnání'!Q661</f>
        <v>0</v>
      </c>
      <c r="T661" s="12" t="s">
        <v>37</v>
      </c>
      <c r="U661" s="13" t="s">
        <v>38</v>
      </c>
      <c r="V661" s="3" t="s">
        <v>10</v>
      </c>
      <c r="W661" s="49">
        <f>'Kalkulace a Porovnání'!W661</f>
        <v>0</v>
      </c>
      <c r="X661" s="49">
        <f>'Kalkulace a Porovnání'!X661</f>
        <v>0</v>
      </c>
      <c r="Y661" s="49">
        <f>'Kalkulace a Porovnání'!Y661</f>
        <v>0</v>
      </c>
      <c r="Z661" s="49">
        <f>'Kalkulace a Porovnání'!Z661</f>
        <v>0</v>
      </c>
      <c r="AA661" s="49">
        <f>'Kalkulace a Porovnání'!AA661</f>
        <v>0</v>
      </c>
      <c r="AB661" s="32">
        <f>'Kalkulace a Porovnání'!AB661</f>
        <v>0</v>
      </c>
      <c r="AC661" s="183"/>
      <c r="AD661" s="547"/>
      <c r="AG661" s="342"/>
      <c r="AH661" s="342"/>
      <c r="AI661" s="342"/>
      <c r="AJ661" s="342"/>
      <c r="AK661" s="547"/>
      <c r="AL661" s="183"/>
    </row>
    <row r="662" spans="2:38" x14ac:dyDescent="0.25">
      <c r="B662" s="12" t="s">
        <v>39</v>
      </c>
      <c r="C662" s="21" t="s">
        <v>40</v>
      </c>
      <c r="D662" s="3" t="s">
        <v>10</v>
      </c>
      <c r="E662" s="49">
        <f>'Kalkulace a Porovnání'!E662</f>
        <v>0</v>
      </c>
      <c r="F662" s="49">
        <f>'Kalkulace a Porovnání'!F662</f>
        <v>0</v>
      </c>
      <c r="G662" s="49">
        <f>'Kalkulace a Porovnání'!G662</f>
        <v>0</v>
      </c>
      <c r="H662" s="32">
        <f>'Kalkulace a Porovnání'!H662</f>
        <v>0</v>
      </c>
      <c r="K662" s="12" t="s">
        <v>39</v>
      </c>
      <c r="L662" s="21" t="s">
        <v>40</v>
      </c>
      <c r="M662" s="3" t="s">
        <v>10</v>
      </c>
      <c r="N662" s="49">
        <f>'Kalkulace a Porovnání'!N662</f>
        <v>0</v>
      </c>
      <c r="O662" s="49">
        <f>'Kalkulace a Porovnání'!O662</f>
        <v>0</v>
      </c>
      <c r="P662" s="49">
        <f>'Kalkulace a Porovnání'!P662</f>
        <v>0</v>
      </c>
      <c r="Q662" s="32">
        <f>'Kalkulace a Porovnání'!Q662</f>
        <v>0</v>
      </c>
      <c r="T662" s="12" t="s">
        <v>39</v>
      </c>
      <c r="U662" s="21" t="s">
        <v>40</v>
      </c>
      <c r="V662" s="3" t="s">
        <v>10</v>
      </c>
      <c r="W662" s="49">
        <f>'Kalkulace a Porovnání'!W662</f>
        <v>0</v>
      </c>
      <c r="X662" s="49">
        <f>'Kalkulace a Porovnání'!X662</f>
        <v>0</v>
      </c>
      <c r="Y662" s="49">
        <f>'Kalkulace a Porovnání'!Y662</f>
        <v>0</v>
      </c>
      <c r="Z662" s="49">
        <f>'Kalkulace a Porovnání'!Z662</f>
        <v>0</v>
      </c>
      <c r="AA662" s="49">
        <f>'Kalkulace a Porovnání'!AA662</f>
        <v>0</v>
      </c>
      <c r="AB662" s="32">
        <f>'Kalkulace a Porovnání'!AB662</f>
        <v>0</v>
      </c>
      <c r="AC662" s="183"/>
      <c r="AD662" s="547"/>
      <c r="AG662" s="342"/>
      <c r="AH662" s="342"/>
      <c r="AI662" s="342"/>
      <c r="AJ662" s="342"/>
      <c r="AK662" s="547"/>
      <c r="AL662" s="183"/>
    </row>
    <row r="663" spans="2:38" x14ac:dyDescent="0.25">
      <c r="B663" s="9" t="s">
        <v>41</v>
      </c>
      <c r="C663" s="10" t="s">
        <v>42</v>
      </c>
      <c r="D663" s="11" t="s">
        <v>10</v>
      </c>
      <c r="E663" s="46">
        <f>'Kalkulace a Porovnání'!E663</f>
        <v>0</v>
      </c>
      <c r="F663" s="46">
        <f>'Kalkulace a Porovnání'!F663</f>
        <v>0</v>
      </c>
      <c r="G663" s="46">
        <f>'Kalkulace a Porovnání'!G663</f>
        <v>0</v>
      </c>
      <c r="H663" s="98">
        <f>'Kalkulace a Porovnání'!H663</f>
        <v>0</v>
      </c>
      <c r="K663" s="9" t="s">
        <v>41</v>
      </c>
      <c r="L663" s="10" t="s">
        <v>42</v>
      </c>
      <c r="M663" s="11" t="s">
        <v>10</v>
      </c>
      <c r="N663" s="46">
        <f>'Kalkulace a Porovnání'!N663</f>
        <v>0</v>
      </c>
      <c r="O663" s="46">
        <f>'Kalkulace a Porovnání'!O663</f>
        <v>0</v>
      </c>
      <c r="P663" s="46">
        <f>'Kalkulace a Porovnání'!P663</f>
        <v>0</v>
      </c>
      <c r="Q663" s="98">
        <f>'Kalkulace a Porovnání'!Q663</f>
        <v>0</v>
      </c>
      <c r="T663" s="9" t="s">
        <v>41</v>
      </c>
      <c r="U663" s="10" t="s">
        <v>42</v>
      </c>
      <c r="V663" s="11" t="s">
        <v>10</v>
      </c>
      <c r="W663" s="46">
        <f>'Kalkulace a Porovnání'!W663</f>
        <v>0</v>
      </c>
      <c r="X663" s="46">
        <f>'Kalkulace a Porovnání'!X663</f>
        <v>0</v>
      </c>
      <c r="Y663" s="46">
        <f>'Kalkulace a Porovnání'!Y663</f>
        <v>0</v>
      </c>
      <c r="Z663" s="46">
        <f>'Kalkulace a Porovnání'!Z663</f>
        <v>0</v>
      </c>
      <c r="AA663" s="46">
        <f>'Kalkulace a Porovnání'!AA663</f>
        <v>0</v>
      </c>
      <c r="AB663" s="98">
        <f>'Kalkulace a Porovnání'!AB663</f>
        <v>0</v>
      </c>
      <c r="AC663" s="183"/>
      <c r="AD663" s="547"/>
      <c r="AG663" s="548"/>
      <c r="AH663" s="548"/>
      <c r="AI663" s="342"/>
      <c r="AJ663" s="342"/>
      <c r="AK663" s="547"/>
      <c r="AL663" s="183"/>
    </row>
    <row r="664" spans="2:38" x14ac:dyDescent="0.25">
      <c r="B664" s="12" t="s">
        <v>43</v>
      </c>
      <c r="C664" s="13" t="s">
        <v>44</v>
      </c>
      <c r="D664" s="3" t="s">
        <v>10</v>
      </c>
      <c r="E664" s="49">
        <f>'Kalkulace a Porovnání'!E664</f>
        <v>0</v>
      </c>
      <c r="F664" s="49">
        <f>'Kalkulace a Porovnání'!F664</f>
        <v>0</v>
      </c>
      <c r="G664" s="49">
        <f>'Kalkulace a Porovnání'!G664</f>
        <v>0</v>
      </c>
      <c r="H664" s="32">
        <f>'Kalkulace a Porovnání'!H664</f>
        <v>0</v>
      </c>
      <c r="K664" s="12" t="s">
        <v>43</v>
      </c>
      <c r="L664" s="13" t="s">
        <v>44</v>
      </c>
      <c r="M664" s="3" t="s">
        <v>10</v>
      </c>
      <c r="N664" s="49">
        <f>'Kalkulace a Porovnání'!N664</f>
        <v>0</v>
      </c>
      <c r="O664" s="49">
        <f>'Kalkulace a Porovnání'!O664</f>
        <v>0</v>
      </c>
      <c r="P664" s="49">
        <f>'Kalkulace a Porovnání'!P664</f>
        <v>0</v>
      </c>
      <c r="Q664" s="32">
        <f>'Kalkulace a Porovnání'!Q664</f>
        <v>0</v>
      </c>
      <c r="T664" s="12" t="s">
        <v>43</v>
      </c>
      <c r="U664" s="13" t="s">
        <v>44</v>
      </c>
      <c r="V664" s="3" t="s">
        <v>10</v>
      </c>
      <c r="W664" s="49">
        <f>'Kalkulace a Porovnání'!W664</f>
        <v>0</v>
      </c>
      <c r="X664" s="49">
        <f>'Kalkulace a Porovnání'!X664</f>
        <v>0</v>
      </c>
      <c r="Y664" s="49">
        <f>'Kalkulace a Porovnání'!Y664</f>
        <v>0</v>
      </c>
      <c r="Z664" s="49">
        <f>'Kalkulace a Porovnání'!Z664</f>
        <v>0</v>
      </c>
      <c r="AA664" s="49">
        <f>'Kalkulace a Porovnání'!AA664</f>
        <v>0</v>
      </c>
      <c r="AB664" s="32">
        <f>'Kalkulace a Porovnání'!AB664</f>
        <v>0</v>
      </c>
      <c r="AC664" s="183"/>
      <c r="AD664" s="547"/>
      <c r="AG664" s="972"/>
      <c r="AH664" s="972"/>
      <c r="AI664" s="342"/>
      <c r="AJ664" s="342"/>
      <c r="AK664" s="547"/>
      <c r="AL664" s="183"/>
    </row>
    <row r="665" spans="2:38" x14ac:dyDescent="0.25">
      <c r="B665" s="12" t="s">
        <v>45</v>
      </c>
      <c r="C665" s="12" t="s">
        <v>46</v>
      </c>
      <c r="D665" s="3" t="s">
        <v>10</v>
      </c>
      <c r="E665" s="49">
        <f>'Kalkulace a Porovnání'!E665</f>
        <v>0</v>
      </c>
      <c r="F665" s="49">
        <f>'Kalkulace a Porovnání'!F665</f>
        <v>0</v>
      </c>
      <c r="G665" s="49">
        <f>'Kalkulace a Porovnání'!G665</f>
        <v>0</v>
      </c>
      <c r="H665" s="32">
        <f>'Kalkulace a Porovnání'!H665</f>
        <v>0</v>
      </c>
      <c r="K665" s="12" t="s">
        <v>45</v>
      </c>
      <c r="L665" s="12" t="s">
        <v>46</v>
      </c>
      <c r="M665" s="3" t="s">
        <v>10</v>
      </c>
      <c r="N665" s="49">
        <f>'Kalkulace a Porovnání'!N665</f>
        <v>0</v>
      </c>
      <c r="O665" s="49">
        <f>'Kalkulace a Porovnání'!O665</f>
        <v>0</v>
      </c>
      <c r="P665" s="49">
        <f>'Kalkulace a Porovnání'!P665</f>
        <v>0</v>
      </c>
      <c r="Q665" s="32">
        <f>'Kalkulace a Porovnání'!Q665</f>
        <v>0</v>
      </c>
      <c r="T665" s="12" t="s">
        <v>45</v>
      </c>
      <c r="U665" s="12" t="s">
        <v>46</v>
      </c>
      <c r="V665" s="3" t="s">
        <v>10</v>
      </c>
      <c r="W665" s="49">
        <f>'Kalkulace a Porovnání'!W665</f>
        <v>0</v>
      </c>
      <c r="X665" s="49">
        <f>'Kalkulace a Porovnání'!X665</f>
        <v>0</v>
      </c>
      <c r="Y665" s="49">
        <f>'Kalkulace a Porovnání'!Y665</f>
        <v>0</v>
      </c>
      <c r="Z665" s="49">
        <f>'Kalkulace a Porovnání'!Z665</f>
        <v>0</v>
      </c>
      <c r="AA665" s="49">
        <f>'Kalkulace a Porovnání'!AA665</f>
        <v>0</v>
      </c>
      <c r="AB665" s="32">
        <f>'Kalkulace a Porovnání'!AB665</f>
        <v>0</v>
      </c>
      <c r="AC665" s="183"/>
      <c r="AD665" s="547"/>
      <c r="AG665" s="972"/>
      <c r="AH665" s="972"/>
      <c r="AI665" s="342"/>
      <c r="AJ665" s="342"/>
      <c r="AK665" s="547"/>
      <c r="AL665" s="183"/>
    </row>
    <row r="666" spans="2:38" x14ac:dyDescent="0.25">
      <c r="B666" s="12" t="s">
        <v>47</v>
      </c>
      <c r="C666" s="13" t="s">
        <v>48</v>
      </c>
      <c r="D666" s="3" t="s">
        <v>10</v>
      </c>
      <c r="E666" s="49">
        <f>'Kalkulace a Porovnání'!E666</f>
        <v>0</v>
      </c>
      <c r="F666" s="49">
        <f>'Kalkulace a Porovnání'!F666</f>
        <v>0</v>
      </c>
      <c r="G666" s="49">
        <f>'Kalkulace a Porovnání'!G666</f>
        <v>0</v>
      </c>
      <c r="H666" s="32">
        <f>'Kalkulace a Porovnání'!H666</f>
        <v>0</v>
      </c>
      <c r="K666" s="12" t="s">
        <v>47</v>
      </c>
      <c r="L666" s="13" t="s">
        <v>48</v>
      </c>
      <c r="M666" s="3" t="s">
        <v>10</v>
      </c>
      <c r="N666" s="49">
        <f>'Kalkulace a Porovnání'!N666</f>
        <v>0</v>
      </c>
      <c r="O666" s="49">
        <f>'Kalkulace a Porovnání'!O666</f>
        <v>0</v>
      </c>
      <c r="P666" s="49">
        <f>'Kalkulace a Porovnání'!P666</f>
        <v>0</v>
      </c>
      <c r="Q666" s="32">
        <f>'Kalkulace a Porovnání'!Q666</f>
        <v>0</v>
      </c>
      <c r="T666" s="12" t="s">
        <v>47</v>
      </c>
      <c r="U666" s="13" t="s">
        <v>48</v>
      </c>
      <c r="V666" s="3" t="s">
        <v>10</v>
      </c>
      <c r="W666" s="49">
        <f>'Kalkulace a Porovnání'!W666</f>
        <v>0</v>
      </c>
      <c r="X666" s="49">
        <f>'Kalkulace a Porovnání'!X666</f>
        <v>0</v>
      </c>
      <c r="Y666" s="49">
        <f>'Kalkulace a Porovnání'!Y666</f>
        <v>0</v>
      </c>
      <c r="Z666" s="49">
        <f>'Kalkulace a Porovnání'!Z666</f>
        <v>0</v>
      </c>
      <c r="AA666" s="49">
        <f>'Kalkulace a Porovnání'!AA666</f>
        <v>0</v>
      </c>
      <c r="AB666" s="32">
        <f>'Kalkulace a Porovnání'!AB666</f>
        <v>0</v>
      </c>
      <c r="AC666" s="183"/>
      <c r="AD666" s="547"/>
      <c r="AG666" s="545"/>
      <c r="AH666" s="545"/>
      <c r="AI666" s="342"/>
      <c r="AJ666" s="342"/>
      <c r="AK666" s="547"/>
      <c r="AL666" s="183"/>
    </row>
    <row r="667" spans="2:38" x14ac:dyDescent="0.25">
      <c r="B667" s="9" t="s">
        <v>49</v>
      </c>
      <c r="C667" s="10" t="s">
        <v>50</v>
      </c>
      <c r="D667" s="11" t="s">
        <v>10</v>
      </c>
      <c r="E667" s="49">
        <f>'Kalkulace a Porovnání'!E667</f>
        <v>0</v>
      </c>
      <c r="F667" s="49">
        <f>'Kalkulace a Porovnání'!F667</f>
        <v>0</v>
      </c>
      <c r="G667" s="49">
        <f>'Kalkulace a Porovnání'!G667</f>
        <v>0</v>
      </c>
      <c r="H667" s="32">
        <f>'Kalkulace a Porovnání'!H667</f>
        <v>0</v>
      </c>
      <c r="K667" s="9" t="s">
        <v>49</v>
      </c>
      <c r="L667" s="10" t="s">
        <v>50</v>
      </c>
      <c r="M667" s="11" t="s">
        <v>10</v>
      </c>
      <c r="N667" s="49">
        <f>'Kalkulace a Porovnání'!N667</f>
        <v>0</v>
      </c>
      <c r="O667" s="49">
        <f>'Kalkulace a Porovnání'!O667</f>
        <v>0</v>
      </c>
      <c r="P667" s="49">
        <f>'Kalkulace a Porovnání'!P667</f>
        <v>0</v>
      </c>
      <c r="Q667" s="32">
        <f>'Kalkulace a Porovnání'!Q667</f>
        <v>0</v>
      </c>
      <c r="T667" s="9" t="s">
        <v>49</v>
      </c>
      <c r="U667" s="10" t="s">
        <v>50</v>
      </c>
      <c r="V667" s="11" t="s">
        <v>10</v>
      </c>
      <c r="W667" s="49">
        <f>'Kalkulace a Porovnání'!W667</f>
        <v>0</v>
      </c>
      <c r="X667" s="49">
        <f>'Kalkulace a Porovnání'!X667</f>
        <v>0</v>
      </c>
      <c r="Y667" s="49">
        <f>'Kalkulace a Porovnání'!Y667</f>
        <v>0</v>
      </c>
      <c r="Z667" s="49">
        <f>'Kalkulace a Porovnání'!Z667</f>
        <v>0</v>
      </c>
      <c r="AA667" s="49">
        <f>'Kalkulace a Porovnání'!AA667</f>
        <v>0</v>
      </c>
      <c r="AB667" s="32">
        <f>'Kalkulace a Porovnání'!AB667</f>
        <v>0</v>
      </c>
      <c r="AC667" s="183"/>
      <c r="AD667" s="547"/>
      <c r="AG667" s="184"/>
      <c r="AH667" s="184"/>
      <c r="AI667" s="342"/>
      <c r="AJ667" s="342"/>
      <c r="AK667" s="547"/>
      <c r="AL667" s="183"/>
    </row>
    <row r="668" spans="2:38" x14ac:dyDescent="0.25">
      <c r="B668" s="9" t="s">
        <v>51</v>
      </c>
      <c r="C668" s="10" t="s">
        <v>52</v>
      </c>
      <c r="D668" s="11" t="s">
        <v>10</v>
      </c>
      <c r="E668" s="49">
        <f>'Kalkulace a Porovnání'!E668</f>
        <v>0</v>
      </c>
      <c r="F668" s="49">
        <f>'Kalkulace a Porovnání'!F668</f>
        <v>0</v>
      </c>
      <c r="G668" s="49">
        <f>'Kalkulace a Porovnání'!G668</f>
        <v>0</v>
      </c>
      <c r="H668" s="32">
        <f>'Kalkulace a Porovnání'!H668</f>
        <v>0</v>
      </c>
      <c r="K668" s="9" t="s">
        <v>51</v>
      </c>
      <c r="L668" s="10" t="s">
        <v>52</v>
      </c>
      <c r="M668" s="11" t="s">
        <v>10</v>
      </c>
      <c r="N668" s="49">
        <f>'Kalkulace a Porovnání'!N668</f>
        <v>0</v>
      </c>
      <c r="O668" s="49">
        <f>'Kalkulace a Porovnání'!O668</f>
        <v>0</v>
      </c>
      <c r="P668" s="49">
        <f>'Kalkulace a Porovnání'!P668</f>
        <v>0</v>
      </c>
      <c r="Q668" s="32">
        <f>'Kalkulace a Porovnání'!Q668</f>
        <v>0</v>
      </c>
      <c r="T668" s="9" t="s">
        <v>51</v>
      </c>
      <c r="U668" s="10" t="s">
        <v>52</v>
      </c>
      <c r="V668" s="11" t="s">
        <v>10</v>
      </c>
      <c r="W668" s="49">
        <f>'Kalkulace a Porovnání'!W668</f>
        <v>0</v>
      </c>
      <c r="X668" s="49">
        <f>'Kalkulace a Porovnání'!X668</f>
        <v>0</v>
      </c>
      <c r="Y668" s="49">
        <f>'Kalkulace a Porovnání'!Y668</f>
        <v>0</v>
      </c>
      <c r="Z668" s="49">
        <f>'Kalkulace a Porovnání'!Z668</f>
        <v>0</v>
      </c>
      <c r="AA668" s="49">
        <f>'Kalkulace a Porovnání'!AA668</f>
        <v>0</v>
      </c>
      <c r="AB668" s="32">
        <f>'Kalkulace a Porovnání'!AB668</f>
        <v>0</v>
      </c>
      <c r="AC668" s="183"/>
      <c r="AD668" s="547"/>
      <c r="AG668" s="184"/>
      <c r="AH668" s="184"/>
      <c r="AI668" s="342"/>
      <c r="AJ668" s="342"/>
      <c r="AK668" s="547"/>
      <c r="AL668" s="183"/>
    </row>
    <row r="669" spans="2:38" x14ac:dyDescent="0.25">
      <c r="B669" s="9" t="s">
        <v>53</v>
      </c>
      <c r="C669" s="10" t="s">
        <v>54</v>
      </c>
      <c r="D669" s="11" t="s">
        <v>10</v>
      </c>
      <c r="E669" s="49">
        <f>'Kalkulace a Porovnání'!E669</f>
        <v>0</v>
      </c>
      <c r="F669" s="49">
        <f>'Kalkulace a Porovnání'!F669</f>
        <v>0</v>
      </c>
      <c r="G669" s="49">
        <f>'Kalkulace a Porovnání'!G669</f>
        <v>0</v>
      </c>
      <c r="H669" s="32">
        <f>'Kalkulace a Porovnání'!H669</f>
        <v>0</v>
      </c>
      <c r="K669" s="9" t="s">
        <v>53</v>
      </c>
      <c r="L669" s="10" t="s">
        <v>54</v>
      </c>
      <c r="M669" s="11" t="s">
        <v>10</v>
      </c>
      <c r="N669" s="49">
        <f>'Kalkulace a Porovnání'!N669</f>
        <v>0</v>
      </c>
      <c r="O669" s="49">
        <f>'Kalkulace a Porovnání'!O669</f>
        <v>0</v>
      </c>
      <c r="P669" s="49">
        <f>'Kalkulace a Porovnání'!P669</f>
        <v>0</v>
      </c>
      <c r="Q669" s="32">
        <f>'Kalkulace a Porovnání'!Q669</f>
        <v>0</v>
      </c>
      <c r="T669" s="9" t="s">
        <v>53</v>
      </c>
      <c r="U669" s="10" t="s">
        <v>54</v>
      </c>
      <c r="V669" s="11" t="s">
        <v>10</v>
      </c>
      <c r="W669" s="49">
        <f>'Kalkulace a Porovnání'!W669</f>
        <v>0</v>
      </c>
      <c r="X669" s="49">
        <f>'Kalkulace a Porovnání'!X669</f>
        <v>0</v>
      </c>
      <c r="Y669" s="49">
        <f>'Kalkulace a Porovnání'!Y669</f>
        <v>0</v>
      </c>
      <c r="Z669" s="49">
        <f>'Kalkulace a Porovnání'!Z669</f>
        <v>0</v>
      </c>
      <c r="AA669" s="49">
        <f>'Kalkulace a Porovnání'!AA669</f>
        <v>0</v>
      </c>
      <c r="AB669" s="32">
        <f>'Kalkulace a Porovnání'!AB669</f>
        <v>0</v>
      </c>
      <c r="AC669" s="183"/>
      <c r="AD669" s="547"/>
      <c r="AG669" s="184"/>
      <c r="AH669" s="184"/>
      <c r="AI669" s="342"/>
      <c r="AJ669" s="342"/>
      <c r="AK669" s="547"/>
      <c r="AL669" s="183"/>
    </row>
    <row r="670" spans="2:38" x14ac:dyDescent="0.25">
      <c r="B670" s="9" t="s">
        <v>55</v>
      </c>
      <c r="C670" s="10" t="s">
        <v>56</v>
      </c>
      <c r="D670" s="11" t="s">
        <v>10</v>
      </c>
      <c r="E670" s="49">
        <f>'Kalkulace a Porovnání'!E670</f>
        <v>0</v>
      </c>
      <c r="F670" s="49">
        <f>'Kalkulace a Porovnání'!F670</f>
        <v>0</v>
      </c>
      <c r="G670" s="49">
        <f>'Kalkulace a Porovnání'!G670</f>
        <v>0</v>
      </c>
      <c r="H670" s="32">
        <f>'Kalkulace a Porovnání'!H670</f>
        <v>0</v>
      </c>
      <c r="K670" s="9" t="s">
        <v>55</v>
      </c>
      <c r="L670" s="10" t="s">
        <v>56</v>
      </c>
      <c r="M670" s="11" t="s">
        <v>10</v>
      </c>
      <c r="N670" s="49">
        <f>'Kalkulace a Porovnání'!N670</f>
        <v>0</v>
      </c>
      <c r="O670" s="49">
        <f>'Kalkulace a Porovnání'!O670</f>
        <v>0</v>
      </c>
      <c r="P670" s="49">
        <f>'Kalkulace a Porovnání'!P670</f>
        <v>0</v>
      </c>
      <c r="Q670" s="32">
        <f>'Kalkulace a Porovnání'!Q670</f>
        <v>0</v>
      </c>
      <c r="T670" s="9" t="s">
        <v>55</v>
      </c>
      <c r="U670" s="10" t="s">
        <v>56</v>
      </c>
      <c r="V670" s="11" t="s">
        <v>10</v>
      </c>
      <c r="W670" s="49">
        <f>'Kalkulace a Porovnání'!W670</f>
        <v>0</v>
      </c>
      <c r="X670" s="49">
        <f>'Kalkulace a Porovnání'!X670</f>
        <v>0</v>
      </c>
      <c r="Y670" s="49">
        <f>'Kalkulace a Porovnání'!Y670</f>
        <v>0</v>
      </c>
      <c r="Z670" s="49">
        <f>'Kalkulace a Porovnání'!Z670</f>
        <v>0</v>
      </c>
      <c r="AA670" s="49">
        <f>'Kalkulace a Porovnání'!AA670</f>
        <v>0</v>
      </c>
      <c r="AB670" s="32">
        <f>'Kalkulace a Porovnání'!AB670</f>
        <v>0</v>
      </c>
      <c r="AC670" s="183"/>
      <c r="AD670" s="547"/>
      <c r="AG670" s="184"/>
      <c r="AH670" s="184"/>
      <c r="AI670" s="342"/>
      <c r="AJ670" s="342"/>
      <c r="AK670" s="547"/>
      <c r="AL670" s="183"/>
    </row>
    <row r="671" spans="2:38" x14ac:dyDescent="0.25">
      <c r="B671" s="9" t="s">
        <v>57</v>
      </c>
      <c r="C671" s="10" t="s">
        <v>58</v>
      </c>
      <c r="D671" s="11" t="s">
        <v>10</v>
      </c>
      <c r="E671" s="46">
        <f>'Kalkulace a Porovnání'!E671</f>
        <v>0</v>
      </c>
      <c r="F671" s="46">
        <f>'Kalkulace a Porovnání'!F671</f>
        <v>0</v>
      </c>
      <c r="G671" s="46">
        <f>'Kalkulace a Porovnání'!G671</f>
        <v>0</v>
      </c>
      <c r="H671" s="98">
        <f>'Kalkulace a Porovnání'!H671</f>
        <v>0</v>
      </c>
      <c r="K671" s="9" t="s">
        <v>57</v>
      </c>
      <c r="L671" s="10" t="s">
        <v>58</v>
      </c>
      <c r="M671" s="11" t="s">
        <v>10</v>
      </c>
      <c r="N671" s="46">
        <f>'Kalkulace a Porovnání'!N671</f>
        <v>0</v>
      </c>
      <c r="O671" s="46">
        <f>'Kalkulace a Porovnání'!O671</f>
        <v>0</v>
      </c>
      <c r="P671" s="46">
        <f>'Kalkulace a Porovnání'!P671</f>
        <v>0</v>
      </c>
      <c r="Q671" s="98">
        <f>'Kalkulace a Porovnání'!Q671</f>
        <v>0</v>
      </c>
      <c r="T671" s="9" t="s">
        <v>57</v>
      </c>
      <c r="U671" s="10" t="s">
        <v>58</v>
      </c>
      <c r="V671" s="11" t="s">
        <v>10</v>
      </c>
      <c r="W671" s="46">
        <f>'Kalkulace a Porovnání'!W671</f>
        <v>0</v>
      </c>
      <c r="X671" s="46">
        <f>'Kalkulace a Porovnání'!X671</f>
        <v>0</v>
      </c>
      <c r="Y671" s="46">
        <f>'Kalkulace a Porovnání'!Y671</f>
        <v>0</v>
      </c>
      <c r="Z671" s="46">
        <f>'Kalkulace a Porovnání'!Z671</f>
        <v>0</v>
      </c>
      <c r="AA671" s="46">
        <f>'Kalkulace a Porovnání'!AA671</f>
        <v>0</v>
      </c>
      <c r="AB671" s="98">
        <f>'Kalkulace a Porovnání'!AB671</f>
        <v>0</v>
      </c>
      <c r="AC671" s="183"/>
      <c r="AD671" s="547"/>
      <c r="AG671" s="184"/>
      <c r="AH671" s="184"/>
      <c r="AI671" s="342"/>
      <c r="AJ671" s="342"/>
      <c r="AK671" s="547"/>
      <c r="AL671" s="183"/>
    </row>
    <row r="672" spans="2:38" x14ac:dyDescent="0.25">
      <c r="B672" s="12" t="s">
        <v>59</v>
      </c>
      <c r="C672" s="13" t="s">
        <v>112</v>
      </c>
      <c r="D672" s="3" t="s">
        <v>10</v>
      </c>
      <c r="E672" s="437">
        <f>'Kalkulace a Porovnání'!E672</f>
        <v>0</v>
      </c>
      <c r="F672" s="437">
        <f>'Kalkulace a Porovnání'!F672</f>
        <v>0</v>
      </c>
      <c r="G672" s="437">
        <f>'Kalkulace a Porovnání'!G672</f>
        <v>0</v>
      </c>
      <c r="H672" s="438">
        <f>'Kalkulace a Porovnání'!H672</f>
        <v>0</v>
      </c>
      <c r="K672" s="12" t="s">
        <v>59</v>
      </c>
      <c r="L672" s="13" t="s">
        <v>112</v>
      </c>
      <c r="M672" s="3" t="s">
        <v>10</v>
      </c>
      <c r="N672" s="437">
        <f>'Kalkulace a Porovnání'!N672</f>
        <v>0</v>
      </c>
      <c r="O672" s="437">
        <f>'Kalkulace a Porovnání'!O672</f>
        <v>0</v>
      </c>
      <c r="P672" s="437">
        <f>'Kalkulace a Porovnání'!P672</f>
        <v>0</v>
      </c>
      <c r="Q672" s="438">
        <f>'Kalkulace a Porovnání'!Q672</f>
        <v>0</v>
      </c>
      <c r="T672" s="12" t="s">
        <v>59</v>
      </c>
      <c r="U672" s="13" t="s">
        <v>112</v>
      </c>
      <c r="V672" s="3" t="s">
        <v>10</v>
      </c>
      <c r="W672" s="437">
        <f>'Kalkulace a Porovnání'!W672</f>
        <v>0</v>
      </c>
      <c r="X672" s="437">
        <f>'Kalkulace a Porovnání'!X672</f>
        <v>0</v>
      </c>
      <c r="Y672" s="437">
        <f>'Kalkulace a Porovnání'!Y672</f>
        <v>0</v>
      </c>
      <c r="Z672" s="437">
        <f>'Kalkulace a Porovnání'!Z672</f>
        <v>0</v>
      </c>
      <c r="AA672" s="437">
        <f>'Kalkulace a Porovnání'!AA672</f>
        <v>0</v>
      </c>
      <c r="AB672" s="438">
        <f>'Kalkulace a Porovnání'!AB672</f>
        <v>0</v>
      </c>
      <c r="AC672" s="183"/>
      <c r="AD672" s="547"/>
      <c r="AG672" s="973"/>
      <c r="AH672" s="973"/>
      <c r="AI672" s="342"/>
      <c r="AJ672" s="342"/>
      <c r="AK672" s="547"/>
      <c r="AL672" s="183"/>
    </row>
    <row r="673" spans="2:38" x14ac:dyDescent="0.25">
      <c r="B673" s="12" t="s">
        <v>60</v>
      </c>
      <c r="C673" s="13" t="s">
        <v>113</v>
      </c>
      <c r="D673" s="3" t="s">
        <v>10</v>
      </c>
      <c r="E673" s="437">
        <f>'Kalkulace a Porovnání'!E673</f>
        <v>0</v>
      </c>
      <c r="F673" s="437">
        <f>'Kalkulace a Porovnání'!F673</f>
        <v>0</v>
      </c>
      <c r="G673" s="437">
        <f>'Kalkulace a Porovnání'!G673</f>
        <v>0</v>
      </c>
      <c r="H673" s="438">
        <f>'Kalkulace a Porovnání'!H673</f>
        <v>0</v>
      </c>
      <c r="K673" s="12" t="s">
        <v>60</v>
      </c>
      <c r="L673" s="13" t="s">
        <v>113</v>
      </c>
      <c r="M673" s="3" t="s">
        <v>10</v>
      </c>
      <c r="N673" s="437">
        <f>'Kalkulace a Porovnání'!N673</f>
        <v>0</v>
      </c>
      <c r="O673" s="437">
        <f>'Kalkulace a Porovnání'!O673</f>
        <v>0</v>
      </c>
      <c r="P673" s="437">
        <f>'Kalkulace a Porovnání'!P673</f>
        <v>0</v>
      </c>
      <c r="Q673" s="438">
        <f>'Kalkulace a Porovnání'!Q673</f>
        <v>0</v>
      </c>
      <c r="T673" s="12" t="s">
        <v>60</v>
      </c>
      <c r="U673" s="13" t="s">
        <v>113</v>
      </c>
      <c r="V673" s="3" t="s">
        <v>10</v>
      </c>
      <c r="W673" s="437">
        <f>'Kalkulace a Porovnání'!W673</f>
        <v>0</v>
      </c>
      <c r="X673" s="437">
        <f>'Kalkulace a Porovnání'!X673</f>
        <v>0</v>
      </c>
      <c r="Y673" s="437">
        <f>'Kalkulace a Porovnání'!Y673</f>
        <v>0</v>
      </c>
      <c r="Z673" s="437">
        <f>'Kalkulace a Porovnání'!Z673</f>
        <v>0</v>
      </c>
      <c r="AA673" s="437">
        <f>'Kalkulace a Porovnání'!AA673</f>
        <v>0</v>
      </c>
      <c r="AB673" s="438">
        <f>'Kalkulace a Porovnání'!AB673</f>
        <v>0</v>
      </c>
      <c r="AC673" s="183"/>
      <c r="AD673" s="547"/>
      <c r="AG673" s="973"/>
      <c r="AH673" s="973"/>
      <c r="AI673" s="342"/>
      <c r="AJ673" s="342"/>
      <c r="AK673" s="547"/>
      <c r="AL673" s="183"/>
    </row>
    <row r="674" spans="2:38" x14ac:dyDescent="0.25">
      <c r="B674" s="12" t="s">
        <v>61</v>
      </c>
      <c r="C674" s="13" t="s">
        <v>62</v>
      </c>
      <c r="D674" s="3" t="s">
        <v>63</v>
      </c>
      <c r="E674" s="439">
        <f>'Kalkulace a Porovnání'!E674</f>
        <v>0</v>
      </c>
      <c r="F674" s="439">
        <f>'Kalkulace a Porovnání'!F674</f>
        <v>0</v>
      </c>
      <c r="G674" s="439">
        <f>'Kalkulace a Porovnání'!G674</f>
        <v>0</v>
      </c>
      <c r="H674" s="440">
        <f>'Kalkulace a Porovnání'!H674</f>
        <v>0</v>
      </c>
      <c r="K674" s="12" t="s">
        <v>61</v>
      </c>
      <c r="L674" s="13" t="s">
        <v>62</v>
      </c>
      <c r="M674" s="3" t="s">
        <v>63</v>
      </c>
      <c r="N674" s="439">
        <f>'Kalkulace a Porovnání'!N674</f>
        <v>0</v>
      </c>
      <c r="O674" s="439">
        <f>'Kalkulace a Porovnání'!O674</f>
        <v>0</v>
      </c>
      <c r="P674" s="439">
        <f>'Kalkulace a Porovnání'!P674</f>
        <v>0</v>
      </c>
      <c r="Q674" s="440">
        <f>'Kalkulace a Porovnání'!Q674</f>
        <v>0</v>
      </c>
      <c r="T674" s="12" t="s">
        <v>61</v>
      </c>
      <c r="U674" s="13" t="s">
        <v>62</v>
      </c>
      <c r="V674" s="3" t="s">
        <v>63</v>
      </c>
      <c r="W674" s="439">
        <f>'Kalkulace a Porovnání'!W674</f>
        <v>0</v>
      </c>
      <c r="X674" s="439">
        <f>'Kalkulace a Porovnání'!X674</f>
        <v>0</v>
      </c>
      <c r="Y674" s="439">
        <f>'Kalkulace a Porovnání'!Y674</f>
        <v>0</v>
      </c>
      <c r="Z674" s="439">
        <f>'Kalkulace a Porovnání'!Z674</f>
        <v>0</v>
      </c>
      <c r="AA674" s="439">
        <f>'Kalkulace a Porovnání'!AA674</f>
        <v>0</v>
      </c>
      <c r="AB674" s="440">
        <f>'Kalkulace a Porovnání'!AB674</f>
        <v>0</v>
      </c>
      <c r="AC674" s="183"/>
      <c r="AD674" s="547"/>
      <c r="AG674" s="972"/>
      <c r="AH674" s="972"/>
      <c r="AI674" s="342"/>
      <c r="AJ674" s="342"/>
      <c r="AK674" s="547"/>
      <c r="AL674" s="183"/>
    </row>
    <row r="675" spans="2:38" x14ac:dyDescent="0.25">
      <c r="B675" s="12" t="s">
        <v>64</v>
      </c>
      <c r="C675" s="13" t="s">
        <v>65</v>
      </c>
      <c r="D675" s="3" t="s">
        <v>66</v>
      </c>
      <c r="E675" s="49">
        <f>'Kalkulace a Porovnání'!E675</f>
        <v>0</v>
      </c>
      <c r="F675" s="49">
        <f>'Kalkulace a Porovnání'!F675</f>
        <v>0</v>
      </c>
      <c r="G675" s="49">
        <f>'Kalkulace a Porovnání'!G675</f>
        <v>0</v>
      </c>
      <c r="H675" s="32">
        <f>'Kalkulace a Porovnání'!H675</f>
        <v>0</v>
      </c>
      <c r="K675" s="12" t="s">
        <v>64</v>
      </c>
      <c r="L675" s="13" t="s">
        <v>65</v>
      </c>
      <c r="M675" s="3" t="s">
        <v>66</v>
      </c>
      <c r="N675" s="49">
        <f>'Kalkulace a Porovnání'!N675</f>
        <v>0</v>
      </c>
      <c r="O675" s="49">
        <f>'Kalkulace a Porovnání'!O675</f>
        <v>0</v>
      </c>
      <c r="P675" s="49">
        <f>'Kalkulace a Porovnání'!P675</f>
        <v>0</v>
      </c>
      <c r="Q675" s="32">
        <f>'Kalkulace a Porovnání'!Q675</f>
        <v>0</v>
      </c>
      <c r="T675" s="12" t="s">
        <v>64</v>
      </c>
      <c r="U675" s="13" t="s">
        <v>65</v>
      </c>
      <c r="V675" s="3" t="s">
        <v>66</v>
      </c>
      <c r="W675" s="49">
        <f>'Kalkulace a Porovnání'!W675</f>
        <v>0</v>
      </c>
      <c r="X675" s="49">
        <f>'Kalkulace a Porovnání'!X675</f>
        <v>0</v>
      </c>
      <c r="Y675" s="49">
        <f>'Kalkulace a Porovnání'!Y675</f>
        <v>0</v>
      </c>
      <c r="Z675" s="49">
        <f>'Kalkulace a Porovnání'!Z675</f>
        <v>0</v>
      </c>
      <c r="AA675" s="49">
        <f>'Kalkulace a Porovnání'!AA675</f>
        <v>0</v>
      </c>
      <c r="AB675" s="32">
        <f>'Kalkulace a Porovnání'!AB675</f>
        <v>0</v>
      </c>
      <c r="AC675" s="183"/>
      <c r="AD675" s="547"/>
      <c r="AG675" s="972"/>
      <c r="AH675" s="972"/>
      <c r="AI675" s="342"/>
      <c r="AJ675" s="342"/>
      <c r="AK675" s="547"/>
      <c r="AL675" s="183"/>
    </row>
    <row r="676" spans="2:38" x14ac:dyDescent="0.25">
      <c r="B676" s="12" t="s">
        <v>67</v>
      </c>
      <c r="C676" s="13" t="s">
        <v>68</v>
      </c>
      <c r="D676" s="3" t="s">
        <v>66</v>
      </c>
      <c r="E676" s="49">
        <f>'Kalkulace a Porovnání'!E676</f>
        <v>0</v>
      </c>
      <c r="F676" s="49">
        <f>'Kalkulace a Porovnání'!F676</f>
        <v>0</v>
      </c>
      <c r="G676" s="49">
        <f>'Kalkulace a Porovnání'!G676</f>
        <v>0</v>
      </c>
      <c r="H676" s="32">
        <f>'Kalkulace a Porovnání'!H676</f>
        <v>0</v>
      </c>
      <c r="K676" s="12" t="s">
        <v>67</v>
      </c>
      <c r="L676" s="13" t="s">
        <v>68</v>
      </c>
      <c r="M676" s="3" t="s">
        <v>66</v>
      </c>
      <c r="N676" s="49">
        <f>'Kalkulace a Porovnání'!N676</f>
        <v>0</v>
      </c>
      <c r="O676" s="49">
        <f>'Kalkulace a Porovnání'!O676</f>
        <v>0</v>
      </c>
      <c r="P676" s="49">
        <f>'Kalkulace a Porovnání'!P676</f>
        <v>0</v>
      </c>
      <c r="Q676" s="32">
        <f>'Kalkulace a Porovnání'!Q676</f>
        <v>0</v>
      </c>
      <c r="T676" s="12" t="s">
        <v>67</v>
      </c>
      <c r="U676" s="13" t="s">
        <v>68</v>
      </c>
      <c r="V676" s="3" t="s">
        <v>66</v>
      </c>
      <c r="W676" s="49">
        <f>'Kalkulace a Porovnání'!W676</f>
        <v>0</v>
      </c>
      <c r="X676" s="49">
        <f>'Kalkulace a Porovnání'!X676</f>
        <v>0</v>
      </c>
      <c r="Y676" s="49">
        <f>'Kalkulace a Porovnání'!Y676</f>
        <v>0</v>
      </c>
      <c r="Z676" s="49">
        <f>'Kalkulace a Porovnání'!Z676</f>
        <v>0</v>
      </c>
      <c r="AA676" s="49">
        <f>'Kalkulace a Porovnání'!AA676</f>
        <v>0</v>
      </c>
      <c r="AB676" s="32">
        <f>'Kalkulace a Porovnání'!AB676</f>
        <v>0</v>
      </c>
      <c r="AC676" s="183"/>
      <c r="AD676" s="547"/>
      <c r="AG676" s="184"/>
      <c r="AH676" s="184"/>
      <c r="AI676" s="342"/>
      <c r="AJ676" s="342"/>
      <c r="AK676" s="547"/>
      <c r="AL676" s="183"/>
    </row>
    <row r="677" spans="2:38" x14ac:dyDescent="0.25">
      <c r="B677" s="12" t="s">
        <v>69</v>
      </c>
      <c r="C677" s="13" t="s">
        <v>70</v>
      </c>
      <c r="D677" s="3" t="s">
        <v>66</v>
      </c>
      <c r="E677" s="49">
        <f>'Kalkulace a Porovnání'!E677</f>
        <v>0</v>
      </c>
      <c r="F677" s="49">
        <f>'Kalkulace a Porovnání'!F677</f>
        <v>0</v>
      </c>
      <c r="G677" s="49">
        <f>'Kalkulace a Porovnání'!G677</f>
        <v>0</v>
      </c>
      <c r="H677" s="32">
        <f>'Kalkulace a Porovnání'!H677</f>
        <v>0</v>
      </c>
      <c r="K677" s="12" t="s">
        <v>69</v>
      </c>
      <c r="L677" s="13" t="s">
        <v>70</v>
      </c>
      <c r="M677" s="3" t="s">
        <v>66</v>
      </c>
      <c r="N677" s="49">
        <f>'Kalkulace a Porovnání'!N677</f>
        <v>0</v>
      </c>
      <c r="O677" s="49">
        <f>'Kalkulace a Porovnání'!O677</f>
        <v>0</v>
      </c>
      <c r="P677" s="49">
        <f>'Kalkulace a Porovnání'!P677</f>
        <v>0</v>
      </c>
      <c r="Q677" s="32">
        <f>'Kalkulace a Porovnání'!Q677</f>
        <v>0</v>
      </c>
      <c r="T677" s="12" t="s">
        <v>69</v>
      </c>
      <c r="U677" s="13" t="s">
        <v>70</v>
      </c>
      <c r="V677" s="3" t="s">
        <v>66</v>
      </c>
      <c r="W677" s="49">
        <f>'Kalkulace a Porovnání'!W677</f>
        <v>0</v>
      </c>
      <c r="X677" s="49">
        <f>'Kalkulace a Porovnání'!X677</f>
        <v>0</v>
      </c>
      <c r="Y677" s="49">
        <f>'Kalkulace a Porovnání'!Y677</f>
        <v>0</v>
      </c>
      <c r="Z677" s="49">
        <f>'Kalkulace a Porovnání'!Z677</f>
        <v>0</v>
      </c>
      <c r="AA677" s="49">
        <f>'Kalkulace a Porovnání'!AA677</f>
        <v>0</v>
      </c>
      <c r="AB677" s="32">
        <f>'Kalkulace a Porovnání'!AB677</f>
        <v>0</v>
      </c>
      <c r="AC677" s="183"/>
      <c r="AD677" s="547"/>
      <c r="AG677" s="549"/>
      <c r="AH677" s="549"/>
      <c r="AI677" s="342"/>
      <c r="AJ677" s="342"/>
      <c r="AK677" s="547"/>
      <c r="AL677" s="183"/>
    </row>
    <row r="678" spans="2:38" x14ac:dyDescent="0.25">
      <c r="B678" s="12" t="s">
        <v>71</v>
      </c>
      <c r="C678" s="13" t="s">
        <v>68</v>
      </c>
      <c r="D678" s="3" t="s">
        <v>66</v>
      </c>
      <c r="E678" s="49">
        <f>'Kalkulace a Porovnání'!E678</f>
        <v>0</v>
      </c>
      <c r="F678" s="49">
        <f>'Kalkulace a Porovnání'!F678</f>
        <v>0</v>
      </c>
      <c r="G678" s="49">
        <f>'Kalkulace a Porovnání'!G678</f>
        <v>0</v>
      </c>
      <c r="H678" s="32">
        <f>'Kalkulace a Porovnání'!H678</f>
        <v>0</v>
      </c>
      <c r="K678" s="12" t="s">
        <v>71</v>
      </c>
      <c r="L678" s="13" t="s">
        <v>68</v>
      </c>
      <c r="M678" s="3" t="s">
        <v>66</v>
      </c>
      <c r="N678" s="49">
        <f>'Kalkulace a Porovnání'!N678</f>
        <v>0</v>
      </c>
      <c r="O678" s="49">
        <f>'Kalkulace a Porovnání'!O678</f>
        <v>0</v>
      </c>
      <c r="P678" s="49">
        <f>'Kalkulace a Porovnání'!P678</f>
        <v>0</v>
      </c>
      <c r="Q678" s="32">
        <f>'Kalkulace a Porovnání'!Q678</f>
        <v>0</v>
      </c>
      <c r="T678" s="12" t="s">
        <v>71</v>
      </c>
      <c r="U678" s="13" t="s">
        <v>68</v>
      </c>
      <c r="V678" s="3" t="s">
        <v>66</v>
      </c>
      <c r="W678" s="49">
        <f>'Kalkulace a Porovnání'!W678</f>
        <v>0</v>
      </c>
      <c r="X678" s="49">
        <f>'Kalkulace a Porovnání'!X678</f>
        <v>0</v>
      </c>
      <c r="Y678" s="49">
        <f>'Kalkulace a Porovnání'!Y678</f>
        <v>0</v>
      </c>
      <c r="Z678" s="49">
        <f>'Kalkulace a Porovnání'!Z678</f>
        <v>0</v>
      </c>
      <c r="AA678" s="49">
        <f>'Kalkulace a Porovnání'!AA678</f>
        <v>0</v>
      </c>
      <c r="AB678" s="32">
        <f>'Kalkulace a Porovnání'!AB678</f>
        <v>0</v>
      </c>
      <c r="AC678" s="183"/>
      <c r="AD678" s="547"/>
      <c r="AG678" s="546"/>
      <c r="AH678" s="546"/>
      <c r="AI678" s="342"/>
      <c r="AJ678" s="342"/>
      <c r="AK678" s="547"/>
      <c r="AL678" s="183"/>
    </row>
    <row r="679" spans="2:38" x14ac:dyDescent="0.25">
      <c r="B679" s="12" t="s">
        <v>72</v>
      </c>
      <c r="C679" s="13" t="s">
        <v>73</v>
      </c>
      <c r="D679" s="3" t="s">
        <v>66</v>
      </c>
      <c r="E679" s="49">
        <f>'Kalkulace a Porovnání'!E679</f>
        <v>0</v>
      </c>
      <c r="F679" s="49">
        <f>'Kalkulace a Porovnání'!F679</f>
        <v>0</v>
      </c>
      <c r="G679" s="49">
        <f>'Kalkulace a Porovnání'!G679</f>
        <v>0</v>
      </c>
      <c r="H679" s="32">
        <f>'Kalkulace a Porovnání'!H679</f>
        <v>0</v>
      </c>
      <c r="K679" s="12" t="s">
        <v>72</v>
      </c>
      <c r="L679" s="13" t="s">
        <v>73</v>
      </c>
      <c r="M679" s="3" t="s">
        <v>66</v>
      </c>
      <c r="N679" s="49">
        <f>'Kalkulace a Porovnání'!N679</f>
        <v>0</v>
      </c>
      <c r="O679" s="49">
        <f>'Kalkulace a Porovnání'!O679</f>
        <v>0</v>
      </c>
      <c r="P679" s="49">
        <f>'Kalkulace a Porovnání'!P679</f>
        <v>0</v>
      </c>
      <c r="Q679" s="32">
        <f>'Kalkulace a Porovnání'!Q679</f>
        <v>0</v>
      </c>
      <c r="T679" s="12" t="s">
        <v>72</v>
      </c>
      <c r="U679" s="13" t="s">
        <v>73</v>
      </c>
      <c r="V679" s="3" t="s">
        <v>66</v>
      </c>
      <c r="W679" s="49">
        <f>'Kalkulace a Porovnání'!W679</f>
        <v>0</v>
      </c>
      <c r="X679" s="49">
        <f>'Kalkulace a Porovnání'!X679</f>
        <v>0</v>
      </c>
      <c r="Y679" s="49">
        <f>'Kalkulace a Porovnání'!Y679</f>
        <v>0</v>
      </c>
      <c r="Z679" s="49">
        <f>'Kalkulace a Porovnání'!Z679</f>
        <v>0</v>
      </c>
      <c r="AA679" s="49">
        <f>'Kalkulace a Porovnání'!AA679</f>
        <v>0</v>
      </c>
      <c r="AB679" s="32">
        <f>'Kalkulace a Porovnání'!AB679</f>
        <v>0</v>
      </c>
      <c r="AC679" s="183"/>
      <c r="AD679" s="547"/>
      <c r="AG679" s="184"/>
      <c r="AH679" s="184"/>
      <c r="AI679" s="549"/>
      <c r="AJ679" s="549"/>
      <c r="AK679" s="547"/>
      <c r="AL679" s="183"/>
    </row>
    <row r="680" spans="2:38" x14ac:dyDescent="0.25">
      <c r="B680" s="12" t="s">
        <v>74</v>
      </c>
      <c r="C680" s="13" t="s">
        <v>75</v>
      </c>
      <c r="D680" s="3" t="s">
        <v>66</v>
      </c>
      <c r="E680" s="49">
        <f>'Kalkulace a Porovnání'!E680</f>
        <v>0</v>
      </c>
      <c r="F680" s="49">
        <f>'Kalkulace a Porovnání'!F680</f>
        <v>0</v>
      </c>
      <c r="G680" s="49">
        <f>'Kalkulace a Porovnání'!G680</f>
        <v>0</v>
      </c>
      <c r="H680" s="32">
        <f>'Kalkulace a Porovnání'!H680</f>
        <v>0</v>
      </c>
      <c r="K680" s="12" t="s">
        <v>74</v>
      </c>
      <c r="L680" s="13" t="s">
        <v>75</v>
      </c>
      <c r="M680" s="3" t="s">
        <v>66</v>
      </c>
      <c r="N680" s="49">
        <f>'Kalkulace a Porovnání'!N680</f>
        <v>0</v>
      </c>
      <c r="O680" s="49">
        <f>'Kalkulace a Porovnání'!O680</f>
        <v>0</v>
      </c>
      <c r="P680" s="49">
        <f>'Kalkulace a Porovnání'!P680</f>
        <v>0</v>
      </c>
      <c r="Q680" s="32">
        <f>'Kalkulace a Porovnání'!Q680</f>
        <v>0</v>
      </c>
      <c r="T680" s="12" t="s">
        <v>74</v>
      </c>
      <c r="U680" s="13" t="s">
        <v>75</v>
      </c>
      <c r="V680" s="3" t="s">
        <v>66</v>
      </c>
      <c r="W680" s="49">
        <f>'Kalkulace a Porovnání'!W680</f>
        <v>0</v>
      </c>
      <c r="X680" s="49">
        <f>'Kalkulace a Porovnání'!X680</f>
        <v>0</v>
      </c>
      <c r="Y680" s="49">
        <f>'Kalkulace a Porovnání'!Y680</f>
        <v>0</v>
      </c>
      <c r="Z680" s="49">
        <f>'Kalkulace a Porovnání'!Z680</f>
        <v>0</v>
      </c>
      <c r="AA680" s="49">
        <f>'Kalkulace a Porovnání'!AA680</f>
        <v>0</v>
      </c>
      <c r="AB680" s="32">
        <f>'Kalkulace a Porovnání'!AB680</f>
        <v>0</v>
      </c>
      <c r="AC680" s="183"/>
      <c r="AD680" s="547"/>
      <c r="AG680" s="184"/>
      <c r="AH680" s="184"/>
      <c r="AI680" s="549"/>
      <c r="AJ680" s="549"/>
      <c r="AK680" s="547"/>
      <c r="AL680" s="183"/>
    </row>
    <row r="681" spans="2:38" x14ac:dyDescent="0.25">
      <c r="B681" s="12" t="s">
        <v>76</v>
      </c>
      <c r="C681" s="13" t="s">
        <v>77</v>
      </c>
      <c r="D681" s="3" t="s">
        <v>66</v>
      </c>
      <c r="E681" s="49">
        <f>'Kalkulace a Porovnání'!E681</f>
        <v>0</v>
      </c>
      <c r="F681" s="49">
        <f>'Kalkulace a Porovnání'!F681</f>
        <v>0</v>
      </c>
      <c r="G681" s="49">
        <f>'Kalkulace a Porovnání'!G681</f>
        <v>0</v>
      </c>
      <c r="H681" s="32">
        <f>'Kalkulace a Porovnání'!H681</f>
        <v>0</v>
      </c>
      <c r="K681" s="12" t="s">
        <v>76</v>
      </c>
      <c r="L681" s="13" t="s">
        <v>77</v>
      </c>
      <c r="M681" s="3" t="s">
        <v>66</v>
      </c>
      <c r="N681" s="49">
        <f>'Kalkulace a Porovnání'!N681</f>
        <v>0</v>
      </c>
      <c r="O681" s="49">
        <f>'Kalkulace a Porovnání'!O681</f>
        <v>0</v>
      </c>
      <c r="P681" s="49">
        <f>'Kalkulace a Porovnání'!P681</f>
        <v>0</v>
      </c>
      <c r="Q681" s="32">
        <f>'Kalkulace a Porovnání'!Q681</f>
        <v>0</v>
      </c>
      <c r="T681" s="12" t="s">
        <v>76</v>
      </c>
      <c r="U681" s="13" t="s">
        <v>77</v>
      </c>
      <c r="V681" s="3" t="s">
        <v>66</v>
      </c>
      <c r="W681" s="49">
        <f>'Kalkulace a Porovnání'!W681</f>
        <v>0</v>
      </c>
      <c r="X681" s="49">
        <f>'Kalkulace a Porovnání'!X681</f>
        <v>0</v>
      </c>
      <c r="Y681" s="49">
        <f>'Kalkulace a Porovnání'!Y681</f>
        <v>0</v>
      </c>
      <c r="Z681" s="49">
        <f>'Kalkulace a Porovnání'!Z681</f>
        <v>0</v>
      </c>
      <c r="AA681" s="49">
        <f>'Kalkulace a Porovnání'!AA681</f>
        <v>0</v>
      </c>
      <c r="AB681" s="32">
        <f>'Kalkulace a Porovnání'!AB681</f>
        <v>0</v>
      </c>
      <c r="AC681" s="183"/>
      <c r="AD681" s="547"/>
      <c r="AG681" s="184"/>
      <c r="AH681" s="184"/>
      <c r="AI681" s="549"/>
      <c r="AJ681" s="549"/>
      <c r="AK681" s="547"/>
      <c r="AL681" s="183"/>
    </row>
    <row r="682" spans="2:38" x14ac:dyDescent="0.25">
      <c r="B682" s="12" t="s">
        <v>78</v>
      </c>
      <c r="C682" s="13" t="s">
        <v>79</v>
      </c>
      <c r="D682" s="3" t="s">
        <v>66</v>
      </c>
      <c r="E682" s="49">
        <f>'Kalkulace a Porovnání'!E682</f>
        <v>0</v>
      </c>
      <c r="F682" s="49">
        <f>'Kalkulace a Porovnání'!F682</f>
        <v>0</v>
      </c>
      <c r="G682" s="49">
        <f>'Kalkulace a Porovnání'!G682</f>
        <v>0</v>
      </c>
      <c r="H682" s="32">
        <f>'Kalkulace a Porovnání'!H682</f>
        <v>0</v>
      </c>
      <c r="K682" s="12" t="s">
        <v>78</v>
      </c>
      <c r="L682" s="13" t="s">
        <v>79</v>
      </c>
      <c r="M682" s="3" t="s">
        <v>66</v>
      </c>
      <c r="N682" s="49">
        <f>'Kalkulace a Porovnání'!N682</f>
        <v>0</v>
      </c>
      <c r="O682" s="49">
        <f>'Kalkulace a Porovnání'!O682</f>
        <v>0</v>
      </c>
      <c r="P682" s="49">
        <f>'Kalkulace a Porovnání'!P682</f>
        <v>0</v>
      </c>
      <c r="Q682" s="32">
        <f>'Kalkulace a Porovnání'!Q682</f>
        <v>0</v>
      </c>
      <c r="T682" s="12" t="s">
        <v>78</v>
      </c>
      <c r="U682" s="13" t="s">
        <v>79</v>
      </c>
      <c r="V682" s="3" t="s">
        <v>66</v>
      </c>
      <c r="W682" s="49">
        <f>'Kalkulace a Porovnání'!W682</f>
        <v>0</v>
      </c>
      <c r="X682" s="49">
        <f>'Kalkulace a Porovnání'!X682</f>
        <v>0</v>
      </c>
      <c r="Y682" s="49">
        <f>'Kalkulace a Porovnání'!Y682</f>
        <v>0</v>
      </c>
      <c r="Z682" s="49">
        <f>'Kalkulace a Porovnání'!Z682</f>
        <v>0</v>
      </c>
      <c r="AA682" s="49">
        <f>'Kalkulace a Porovnání'!AA682</f>
        <v>0</v>
      </c>
      <c r="AB682" s="32">
        <f>'Kalkulace a Porovnání'!AB682</f>
        <v>0</v>
      </c>
      <c r="AC682" s="183"/>
      <c r="AD682" s="547"/>
      <c r="AG682" s="421"/>
      <c r="AH682" s="421"/>
      <c r="AI682" s="342"/>
      <c r="AJ682" s="342"/>
      <c r="AK682" s="547"/>
      <c r="AL682" s="183"/>
    </row>
    <row r="683" spans="2:38" x14ac:dyDescent="0.25">
      <c r="B683" s="1"/>
      <c r="C683" s="1"/>
      <c r="D683" s="1"/>
      <c r="E683" s="1"/>
      <c r="F683" s="1"/>
      <c r="G683" s="1"/>
      <c r="H683" s="1"/>
      <c r="K683" s="1"/>
      <c r="L683" s="1"/>
      <c r="M683" s="1"/>
      <c r="N683" s="1"/>
      <c r="O683" s="1"/>
      <c r="P683" s="1"/>
      <c r="Q683" s="1"/>
      <c r="T683" s="1"/>
      <c r="U683" s="1"/>
      <c r="V683" s="1"/>
      <c r="W683" s="1"/>
      <c r="X683" s="1"/>
      <c r="Y683" s="1"/>
      <c r="Z683" s="1"/>
      <c r="AA683" s="1"/>
      <c r="AB683" s="1"/>
      <c r="AC683" s="183"/>
      <c r="AD683" s="547"/>
      <c r="AG683" s="547"/>
      <c r="AH683" s="547"/>
      <c r="AI683" s="547"/>
      <c r="AJ683" s="547"/>
      <c r="AK683" s="547"/>
      <c r="AL683" s="183"/>
    </row>
    <row r="684" spans="2:38" x14ac:dyDescent="0.25">
      <c r="B684" s="932" t="s">
        <v>5</v>
      </c>
      <c r="C684" s="721" t="s">
        <v>80</v>
      </c>
      <c r="D684" s="722"/>
      <c r="E684" s="723"/>
      <c r="F684" s="724"/>
      <c r="G684" s="722"/>
      <c r="H684" s="725"/>
      <c r="K684" s="932" t="s">
        <v>5</v>
      </c>
      <c r="L684" s="721" t="s">
        <v>80</v>
      </c>
      <c r="M684" s="722"/>
      <c r="N684" s="723"/>
      <c r="O684" s="724"/>
      <c r="P684" s="722"/>
      <c r="Q684" s="725"/>
      <c r="T684" s="771" t="s">
        <v>5</v>
      </c>
      <c r="U684" s="721" t="s">
        <v>80</v>
      </c>
      <c r="V684" s="722"/>
      <c r="W684" s="723"/>
      <c r="X684" s="723"/>
      <c r="Y684" s="724"/>
      <c r="Z684" s="722"/>
      <c r="AA684" s="722"/>
      <c r="AB684" s="725"/>
      <c r="AC684" s="183"/>
      <c r="AD684" s="547"/>
      <c r="AG684" s="547"/>
      <c r="AH684" s="547"/>
      <c r="AI684" s="547"/>
      <c r="AJ684" s="547"/>
      <c r="AK684" s="547"/>
      <c r="AL684" s="183"/>
    </row>
    <row r="685" spans="2:38" x14ac:dyDescent="0.25">
      <c r="B685" s="930"/>
      <c r="C685" s="932" t="s">
        <v>81</v>
      </c>
      <c r="D685" s="929" t="s">
        <v>173</v>
      </c>
      <c r="E685" s="874" t="s">
        <v>118</v>
      </c>
      <c r="F685" s="937"/>
      <c r="G685" s="26" t="s">
        <v>3</v>
      </c>
      <c r="H685" s="23" t="s">
        <v>4</v>
      </c>
      <c r="K685" s="930"/>
      <c r="L685" s="5" t="s">
        <v>81</v>
      </c>
      <c r="M685" s="929" t="s">
        <v>173</v>
      </c>
      <c r="N685" s="874" t="s">
        <v>118</v>
      </c>
      <c r="O685" s="937"/>
      <c r="P685" s="26" t="s">
        <v>3</v>
      </c>
      <c r="Q685" s="23" t="s">
        <v>4</v>
      </c>
      <c r="T685" s="934"/>
      <c r="U685" s="932" t="s">
        <v>81</v>
      </c>
      <c r="V685" s="929" t="s">
        <v>173</v>
      </c>
      <c r="W685" s="874" t="s">
        <v>118</v>
      </c>
      <c r="X685" s="937"/>
      <c r="Y685" s="874" t="s">
        <v>3</v>
      </c>
      <c r="Z685" s="939"/>
      <c r="AA685" s="940" t="s">
        <v>4</v>
      </c>
      <c r="AB685" s="940"/>
      <c r="AC685" s="183"/>
      <c r="AD685" s="547"/>
      <c r="AG685" s="547"/>
      <c r="AH685" s="547"/>
      <c r="AI685" s="547"/>
      <c r="AJ685" s="547"/>
      <c r="AK685" s="547"/>
      <c r="AL685" s="183"/>
    </row>
    <row r="686" spans="2:38" x14ac:dyDescent="0.25">
      <c r="B686" s="931"/>
      <c r="C686" s="931"/>
      <c r="D686" s="936"/>
      <c r="E686" s="875"/>
      <c r="F686" s="938"/>
      <c r="G686" s="27" t="s">
        <v>7</v>
      </c>
      <c r="H686" s="24" t="s">
        <v>7</v>
      </c>
      <c r="K686" s="931"/>
      <c r="L686" s="8"/>
      <c r="M686" s="936"/>
      <c r="N686" s="875"/>
      <c r="O686" s="938"/>
      <c r="P686" s="27" t="s">
        <v>7</v>
      </c>
      <c r="Q686" s="24" t="s">
        <v>7</v>
      </c>
      <c r="T686" s="935"/>
      <c r="U686" s="931"/>
      <c r="V686" s="936"/>
      <c r="W686" s="875"/>
      <c r="X686" s="938"/>
      <c r="Y686" s="40" t="s">
        <v>196</v>
      </c>
      <c r="Z686" s="40" t="s">
        <v>7</v>
      </c>
      <c r="AA686" s="40" t="s">
        <v>196</v>
      </c>
      <c r="AB686" s="40" t="s">
        <v>7</v>
      </c>
      <c r="AC686" s="183"/>
      <c r="AD686" s="547"/>
      <c r="AG686" s="547"/>
      <c r="AH686" s="547"/>
      <c r="AI686" s="547"/>
      <c r="AJ686" s="547"/>
      <c r="AK686" s="547"/>
      <c r="AL686" s="183"/>
    </row>
    <row r="687" spans="2:38" x14ac:dyDescent="0.25">
      <c r="B687" s="11">
        <v>1</v>
      </c>
      <c r="C687" s="11">
        <v>2</v>
      </c>
      <c r="D687" s="11" t="s">
        <v>111</v>
      </c>
      <c r="E687" s="735" t="s">
        <v>115</v>
      </c>
      <c r="F687" s="736"/>
      <c r="G687" s="11" t="s">
        <v>116</v>
      </c>
      <c r="H687" s="22" t="s">
        <v>117</v>
      </c>
      <c r="K687" s="11">
        <v>1</v>
      </c>
      <c r="L687" s="11">
        <v>2</v>
      </c>
      <c r="M687" s="11" t="s">
        <v>111</v>
      </c>
      <c r="N687" s="735" t="s">
        <v>115</v>
      </c>
      <c r="O687" s="736"/>
      <c r="P687" s="11" t="s">
        <v>116</v>
      </c>
      <c r="Q687" s="22" t="s">
        <v>117</v>
      </c>
      <c r="T687" s="11">
        <v>1</v>
      </c>
      <c r="U687" s="11">
        <v>2</v>
      </c>
      <c r="V687" s="11" t="s">
        <v>111</v>
      </c>
      <c r="W687" s="944" t="s">
        <v>115</v>
      </c>
      <c r="X687" s="945"/>
      <c r="Y687" s="11" t="s">
        <v>201</v>
      </c>
      <c r="Z687" s="11" t="s">
        <v>116</v>
      </c>
      <c r="AA687" s="11" t="s">
        <v>200</v>
      </c>
      <c r="AB687" s="22" t="s">
        <v>117</v>
      </c>
      <c r="AC687" s="183"/>
      <c r="AD687" s="547"/>
      <c r="AG687" s="547"/>
      <c r="AH687" s="547"/>
      <c r="AI687" s="547"/>
      <c r="AJ687" s="547"/>
      <c r="AK687" s="547"/>
      <c r="AL687" s="183"/>
    </row>
    <row r="688" spans="2:38" x14ac:dyDescent="0.25">
      <c r="B688" s="12" t="s">
        <v>82</v>
      </c>
      <c r="C688" s="13" t="s">
        <v>127</v>
      </c>
      <c r="D688" s="13" t="s">
        <v>83</v>
      </c>
      <c r="E688" s="732" t="s">
        <v>120</v>
      </c>
      <c r="F688" s="733"/>
      <c r="G688" s="172">
        <f>'Kalkulace a Porovnání'!G688</f>
        <v>0</v>
      </c>
      <c r="H688" s="172">
        <f>'Kalkulace a Porovnání'!H688</f>
        <v>0</v>
      </c>
      <c r="K688" s="12" t="s">
        <v>82</v>
      </c>
      <c r="L688" s="13" t="s">
        <v>127</v>
      </c>
      <c r="M688" s="13" t="s">
        <v>83</v>
      </c>
      <c r="N688" s="732" t="s">
        <v>120</v>
      </c>
      <c r="O688" s="733"/>
      <c r="P688" s="172">
        <f>'Kalkulace a Porovnání'!P688</f>
        <v>0</v>
      </c>
      <c r="Q688" s="172">
        <f>'Kalkulace a Porovnání'!Q688</f>
        <v>0</v>
      </c>
      <c r="T688" s="12" t="s">
        <v>82</v>
      </c>
      <c r="U688" s="13" t="s">
        <v>127</v>
      </c>
      <c r="V688" s="13" t="s">
        <v>83</v>
      </c>
      <c r="W688" s="13" t="s">
        <v>120</v>
      </c>
      <c r="X688" s="101"/>
      <c r="Y688" s="172">
        <f>'Kalkulace a Porovnání'!Y688</f>
        <v>0</v>
      </c>
      <c r="Z688" s="172">
        <f>'Kalkulace a Porovnání'!Z688</f>
        <v>0</v>
      </c>
      <c r="AA688" s="172">
        <f>'Kalkulace a Porovnání'!AA688</f>
        <v>0</v>
      </c>
      <c r="AB688" s="172">
        <f>'Kalkulace a Porovnání'!AB688</f>
        <v>0</v>
      </c>
      <c r="AC688" s="183"/>
      <c r="AD688" s="547"/>
      <c r="AG688" s="547"/>
      <c r="AH688" s="547"/>
      <c r="AI688" s="547"/>
      <c r="AJ688" s="547"/>
      <c r="AK688" s="547"/>
      <c r="AL688" s="183"/>
    </row>
    <row r="689" spans="2:38" x14ac:dyDescent="0.25">
      <c r="B689" s="12" t="s">
        <v>84</v>
      </c>
      <c r="C689" s="13" t="s">
        <v>85</v>
      </c>
      <c r="D689" s="13" t="s">
        <v>10</v>
      </c>
      <c r="E689" s="732" t="s">
        <v>121</v>
      </c>
      <c r="F689" s="733"/>
      <c r="G689" s="449">
        <f>'Kalkulace a Porovnání'!G689</f>
        <v>0</v>
      </c>
      <c r="H689" s="449">
        <f>'Kalkulace a Porovnání'!H689</f>
        <v>0</v>
      </c>
      <c r="K689" s="12" t="s">
        <v>84</v>
      </c>
      <c r="L689" s="13" t="s">
        <v>85</v>
      </c>
      <c r="M689" s="13" t="s">
        <v>10</v>
      </c>
      <c r="N689" s="732" t="s">
        <v>121</v>
      </c>
      <c r="O689" s="733"/>
      <c r="P689" s="449">
        <f>'Kalkulace a Porovnání'!P689</f>
        <v>0</v>
      </c>
      <c r="Q689" s="449">
        <f>'Kalkulace a Porovnání'!Q689</f>
        <v>0</v>
      </c>
      <c r="T689" s="12" t="s">
        <v>84</v>
      </c>
      <c r="U689" s="13" t="s">
        <v>85</v>
      </c>
      <c r="V689" s="13" t="s">
        <v>10</v>
      </c>
      <c r="W689" s="13" t="s">
        <v>121</v>
      </c>
      <c r="X689" s="101"/>
      <c r="Y689" s="449">
        <f>'Kalkulace a Porovnání'!Y689</f>
        <v>0</v>
      </c>
      <c r="Z689" s="449">
        <f>'Kalkulace a Porovnání'!Z689</f>
        <v>0</v>
      </c>
      <c r="AA689" s="449">
        <f>'Kalkulace a Porovnání'!AA689</f>
        <v>0</v>
      </c>
      <c r="AB689" s="449">
        <f>'Kalkulace a Porovnání'!AB689</f>
        <v>0</v>
      </c>
      <c r="AC689" s="183"/>
      <c r="AD689" s="547"/>
      <c r="AG689" s="547"/>
      <c r="AH689" s="547"/>
      <c r="AI689" s="547"/>
      <c r="AJ689" s="547"/>
      <c r="AK689" s="547"/>
      <c r="AL689" s="183"/>
    </row>
    <row r="690" spans="2:38" x14ac:dyDescent="0.25">
      <c r="B690" s="12" t="s">
        <v>86</v>
      </c>
      <c r="C690" s="13" t="s">
        <v>87</v>
      </c>
      <c r="D690" s="13" t="s">
        <v>10</v>
      </c>
      <c r="E690" s="732"/>
      <c r="F690" s="733"/>
      <c r="G690" s="449">
        <f>'Kalkulace a Porovnání'!G690</f>
        <v>0</v>
      </c>
      <c r="H690" s="449">
        <f>'Kalkulace a Porovnání'!H690</f>
        <v>0</v>
      </c>
      <c r="K690" s="12" t="s">
        <v>86</v>
      </c>
      <c r="L690" s="13" t="s">
        <v>87</v>
      </c>
      <c r="M690" s="13" t="s">
        <v>10</v>
      </c>
      <c r="N690" s="732"/>
      <c r="O690" s="733"/>
      <c r="P690" s="449">
        <f>'Kalkulace a Porovnání'!P690</f>
        <v>0</v>
      </c>
      <c r="Q690" s="449">
        <f>'Kalkulace a Porovnání'!Q690</f>
        <v>0</v>
      </c>
      <c r="T690" s="12" t="s">
        <v>86</v>
      </c>
      <c r="U690" s="13" t="s">
        <v>87</v>
      </c>
      <c r="V690" s="13" t="s">
        <v>10</v>
      </c>
      <c r="W690" s="13"/>
      <c r="X690" s="101"/>
      <c r="Y690" s="449">
        <f>'Kalkulace a Porovnání'!Y690</f>
        <v>0</v>
      </c>
      <c r="Z690" s="449">
        <f>'Kalkulace a Porovnání'!Z690</f>
        <v>0</v>
      </c>
      <c r="AA690" s="449">
        <f>'Kalkulace a Porovnání'!AA690</f>
        <v>0</v>
      </c>
      <c r="AB690" s="449">
        <f>'Kalkulace a Porovnání'!AB690</f>
        <v>0</v>
      </c>
      <c r="AC690" s="183"/>
      <c r="AD690" s="547"/>
      <c r="AG690" s="547"/>
      <c r="AH690" s="547"/>
      <c r="AI690" s="547"/>
      <c r="AJ690" s="547"/>
      <c r="AK690" s="547"/>
      <c r="AL690" s="183"/>
    </row>
    <row r="691" spans="2:38" x14ac:dyDescent="0.25">
      <c r="B691" s="12" t="s">
        <v>88</v>
      </c>
      <c r="C691" s="21" t="s">
        <v>89</v>
      </c>
      <c r="D691" s="13" t="s">
        <v>90</v>
      </c>
      <c r="E691" s="732" t="s">
        <v>123</v>
      </c>
      <c r="F691" s="733"/>
      <c r="G691" s="172">
        <f>'Kalkulace a Porovnání'!G691</f>
        <v>0</v>
      </c>
      <c r="H691" s="172">
        <f>'Kalkulace a Porovnání'!H691</f>
        <v>0</v>
      </c>
      <c r="K691" s="12" t="s">
        <v>88</v>
      </c>
      <c r="L691" s="21" t="s">
        <v>89</v>
      </c>
      <c r="M691" s="13" t="s">
        <v>90</v>
      </c>
      <c r="N691" s="732" t="s">
        <v>123</v>
      </c>
      <c r="O691" s="733"/>
      <c r="P691" s="172">
        <f>'Kalkulace a Porovnání'!P691</f>
        <v>0</v>
      </c>
      <c r="Q691" s="172">
        <f>'Kalkulace a Porovnání'!Q691</f>
        <v>0</v>
      </c>
      <c r="T691" s="12" t="s">
        <v>88</v>
      </c>
      <c r="U691" s="21" t="s">
        <v>89</v>
      </c>
      <c r="V691" s="13" t="s">
        <v>90</v>
      </c>
      <c r="W691" s="13" t="s">
        <v>123</v>
      </c>
      <c r="X691" s="101"/>
      <c r="Y691" s="172">
        <f>'Kalkulace a Porovnání'!Y691</f>
        <v>0</v>
      </c>
      <c r="Z691" s="172">
        <f>'Kalkulace a Porovnání'!Z691</f>
        <v>0</v>
      </c>
      <c r="AA691" s="172">
        <f>'Kalkulace a Porovnání'!AA691</f>
        <v>0</v>
      </c>
      <c r="AB691" s="172">
        <f>'Kalkulace a Porovnání'!AB691</f>
        <v>0</v>
      </c>
      <c r="AC691" s="183"/>
      <c r="AD691" s="547"/>
      <c r="AG691" s="547"/>
      <c r="AH691" s="547"/>
      <c r="AI691" s="547"/>
      <c r="AJ691" s="547"/>
      <c r="AK691" s="547"/>
      <c r="AL691" s="183"/>
    </row>
    <row r="692" spans="2:38" x14ac:dyDescent="0.25">
      <c r="B692" s="12" t="s">
        <v>91</v>
      </c>
      <c r="C692" s="21" t="s">
        <v>92</v>
      </c>
      <c r="D692" s="13" t="s">
        <v>10</v>
      </c>
      <c r="E692" s="732"/>
      <c r="F692" s="733"/>
      <c r="G692" s="449">
        <f>'Kalkulace a Porovnání'!G692</f>
        <v>0</v>
      </c>
      <c r="H692" s="449">
        <f>'Kalkulace a Porovnání'!H692</f>
        <v>0</v>
      </c>
      <c r="K692" s="12" t="s">
        <v>91</v>
      </c>
      <c r="L692" s="21" t="s">
        <v>92</v>
      </c>
      <c r="M692" s="13" t="s">
        <v>10</v>
      </c>
      <c r="N692" s="732"/>
      <c r="O692" s="733"/>
      <c r="P692" s="449">
        <f>'Kalkulace a Porovnání'!P692</f>
        <v>0</v>
      </c>
      <c r="Q692" s="449">
        <f>'Kalkulace a Porovnání'!Q692</f>
        <v>0</v>
      </c>
      <c r="T692" s="12" t="s">
        <v>91</v>
      </c>
      <c r="U692" s="21" t="s">
        <v>92</v>
      </c>
      <c r="V692" s="13" t="s">
        <v>10</v>
      </c>
      <c r="W692" s="13"/>
      <c r="X692" s="101"/>
      <c r="Y692" s="449">
        <f>'Kalkulace a Porovnání'!Y692</f>
        <v>0</v>
      </c>
      <c r="Z692" s="449">
        <f>'Kalkulace a Porovnání'!Z692</f>
        <v>0</v>
      </c>
      <c r="AA692" s="449">
        <f>'Kalkulace a Porovnání'!AA692</f>
        <v>0</v>
      </c>
      <c r="AB692" s="449">
        <f>'Kalkulace a Porovnání'!AB692</f>
        <v>0</v>
      </c>
      <c r="AC692" s="183"/>
      <c r="AD692" s="547"/>
      <c r="AG692" s="547"/>
      <c r="AH692" s="547"/>
      <c r="AI692" s="547"/>
      <c r="AJ692" s="547"/>
      <c r="AK692" s="547"/>
      <c r="AL692" s="183"/>
    </row>
    <row r="693" spans="2:38" x14ac:dyDescent="0.25">
      <c r="B693" s="12" t="s">
        <v>93</v>
      </c>
      <c r="C693" s="13" t="s">
        <v>94</v>
      </c>
      <c r="D693" s="13" t="s">
        <v>10</v>
      </c>
      <c r="E693" s="732" t="s">
        <v>122</v>
      </c>
      <c r="F693" s="733"/>
      <c r="G693" s="449">
        <f>'Kalkulace a Porovnání'!G693</f>
        <v>0</v>
      </c>
      <c r="H693" s="449">
        <f>'Kalkulace a Porovnání'!H693</f>
        <v>0</v>
      </c>
      <c r="K693" s="12" t="s">
        <v>93</v>
      </c>
      <c r="L693" s="13" t="s">
        <v>94</v>
      </c>
      <c r="M693" s="13" t="s">
        <v>10</v>
      </c>
      <c r="N693" s="732" t="s">
        <v>122</v>
      </c>
      <c r="O693" s="733"/>
      <c r="P693" s="449">
        <f>'Kalkulace a Porovnání'!P693</f>
        <v>0</v>
      </c>
      <c r="Q693" s="449">
        <f>'Kalkulace a Porovnání'!Q693</f>
        <v>0</v>
      </c>
      <c r="T693" s="12" t="s">
        <v>93</v>
      </c>
      <c r="U693" s="13" t="s">
        <v>94</v>
      </c>
      <c r="V693" s="13" t="s">
        <v>10</v>
      </c>
      <c r="W693" s="13" t="s">
        <v>122</v>
      </c>
      <c r="X693" s="101"/>
      <c r="Y693" s="449">
        <f>'Kalkulace a Porovnání'!Y693</f>
        <v>0</v>
      </c>
      <c r="Z693" s="449">
        <f>'Kalkulace a Porovnání'!Z693</f>
        <v>0</v>
      </c>
      <c r="AA693" s="449">
        <f>'Kalkulace a Porovnání'!AA693</f>
        <v>0</v>
      </c>
      <c r="AB693" s="449">
        <f>'Kalkulace a Porovnání'!AB693</f>
        <v>0</v>
      </c>
      <c r="AC693" s="183"/>
      <c r="AD693" s="547"/>
      <c r="AG693" s="547"/>
      <c r="AH693" s="547"/>
      <c r="AI693" s="547"/>
      <c r="AJ693" s="547"/>
      <c r="AK693" s="547"/>
      <c r="AL693" s="183"/>
    </row>
    <row r="694" spans="2:38" x14ac:dyDescent="0.25">
      <c r="B694" s="12" t="s">
        <v>95</v>
      </c>
      <c r="C694" s="13" t="s">
        <v>96</v>
      </c>
      <c r="D694" s="13" t="s">
        <v>66</v>
      </c>
      <c r="E694" s="732" t="s">
        <v>124</v>
      </c>
      <c r="F694" s="733"/>
      <c r="G694" s="449">
        <f>'Kalkulace a Porovnání'!G694</f>
        <v>0</v>
      </c>
      <c r="H694" s="449">
        <f>'Kalkulace a Porovnání'!H694</f>
        <v>0</v>
      </c>
      <c r="K694" s="12" t="s">
        <v>95</v>
      </c>
      <c r="L694" s="13" t="s">
        <v>96</v>
      </c>
      <c r="M694" s="13" t="s">
        <v>66</v>
      </c>
      <c r="N694" s="732" t="s">
        <v>124</v>
      </c>
      <c r="O694" s="733"/>
      <c r="P694" s="449">
        <f>'Kalkulace a Porovnání'!P694</f>
        <v>0</v>
      </c>
      <c r="Q694" s="449">
        <f>'Kalkulace a Porovnání'!Q694</f>
        <v>0</v>
      </c>
      <c r="T694" s="12" t="s">
        <v>95</v>
      </c>
      <c r="U694" s="13" t="s">
        <v>96</v>
      </c>
      <c r="V694" s="13" t="s">
        <v>66</v>
      </c>
      <c r="W694" s="13" t="s">
        <v>124</v>
      </c>
      <c r="X694" s="101"/>
      <c r="Y694" s="449">
        <f>'Kalkulace a Porovnání'!Y694</f>
        <v>0</v>
      </c>
      <c r="Z694" s="449">
        <f>'Kalkulace a Porovnání'!Z694</f>
        <v>0</v>
      </c>
      <c r="AA694" s="449">
        <f>'Kalkulace a Porovnání'!AA694</f>
        <v>0</v>
      </c>
      <c r="AB694" s="449">
        <f>'Kalkulace a Porovnání'!AB694</f>
        <v>0</v>
      </c>
      <c r="AC694" s="183"/>
      <c r="AD694" s="547"/>
      <c r="AG694" s="547"/>
      <c r="AH694" s="547"/>
      <c r="AI694" s="547"/>
      <c r="AJ694" s="547"/>
      <c r="AK694" s="547"/>
      <c r="AL694" s="183"/>
    </row>
    <row r="695" spans="2:38" x14ac:dyDescent="0.25">
      <c r="B695" s="12" t="s">
        <v>97</v>
      </c>
      <c r="C695" s="13" t="s">
        <v>98</v>
      </c>
      <c r="D695" s="13" t="s">
        <v>83</v>
      </c>
      <c r="E695" s="732" t="s">
        <v>125</v>
      </c>
      <c r="F695" s="733"/>
      <c r="G695" s="172">
        <f>'Kalkulace a Porovnání'!G695</f>
        <v>0</v>
      </c>
      <c r="H695" s="172">
        <f>'Kalkulace a Porovnání'!H695</f>
        <v>0</v>
      </c>
      <c r="K695" s="12" t="s">
        <v>97</v>
      </c>
      <c r="L695" s="13" t="s">
        <v>98</v>
      </c>
      <c r="M695" s="13" t="s">
        <v>83</v>
      </c>
      <c r="N695" s="732" t="s">
        <v>125</v>
      </c>
      <c r="O695" s="733"/>
      <c r="P695" s="172">
        <f>'Kalkulace a Porovnání'!P695</f>
        <v>0</v>
      </c>
      <c r="Q695" s="172">
        <f>'Kalkulace a Porovnání'!Q695</f>
        <v>0</v>
      </c>
      <c r="T695" s="12" t="s">
        <v>97</v>
      </c>
      <c r="U695" s="13" t="s">
        <v>98</v>
      </c>
      <c r="V695" s="13" t="s">
        <v>83</v>
      </c>
      <c r="W695" s="13" t="s">
        <v>125</v>
      </c>
      <c r="X695" s="101"/>
      <c r="Y695" s="172">
        <f>'Kalkulace a Porovnání'!Y695</f>
        <v>0</v>
      </c>
      <c r="Z695" s="172">
        <f>'Kalkulace a Porovnání'!Z695</f>
        <v>0</v>
      </c>
      <c r="AA695" s="172">
        <f>'Kalkulace a Porovnání'!AA695</f>
        <v>0</v>
      </c>
      <c r="AB695" s="172">
        <f>'Kalkulace a Porovnání'!AB695</f>
        <v>0</v>
      </c>
      <c r="AC695" s="183"/>
      <c r="AD695" s="547"/>
      <c r="AG695" s="547"/>
      <c r="AH695" s="547"/>
      <c r="AI695" s="547"/>
      <c r="AJ695" s="547"/>
      <c r="AK695" s="547"/>
      <c r="AL695" s="183"/>
    </row>
    <row r="696" spans="2:38" x14ac:dyDescent="0.25">
      <c r="B696" s="12" t="s">
        <v>99</v>
      </c>
      <c r="C696" s="13" t="str">
        <f>CONCATENATE("CENA pro vodné, stočné + ",Provozování!E724*100,"% DPH")</f>
        <v>CENA pro vodné, stočné + 0% DPH</v>
      </c>
      <c r="D696" s="13" t="s">
        <v>83</v>
      </c>
      <c r="E696" s="732" t="s">
        <v>126</v>
      </c>
      <c r="F696" s="733"/>
      <c r="G696" s="172">
        <f>'Kalkulace a Porovnání'!G696</f>
        <v>0</v>
      </c>
      <c r="H696" s="172">
        <f>'Kalkulace a Porovnání'!H696</f>
        <v>0</v>
      </c>
      <c r="K696" s="12" t="s">
        <v>99</v>
      </c>
      <c r="L696" s="13" t="str">
        <f>C696</f>
        <v>CENA pro vodné, stočné + 0% DPH</v>
      </c>
      <c r="M696" s="13" t="s">
        <v>83</v>
      </c>
      <c r="N696" s="732" t="s">
        <v>126</v>
      </c>
      <c r="O696" s="733"/>
      <c r="P696" s="172">
        <f>'Kalkulace a Porovnání'!P696</f>
        <v>0</v>
      </c>
      <c r="Q696" s="172">
        <f>'Kalkulace a Porovnání'!Q696</f>
        <v>0</v>
      </c>
      <c r="T696" s="12" t="s">
        <v>99</v>
      </c>
      <c r="U696" s="13" t="str">
        <f>C696</f>
        <v>CENA pro vodné, stočné + 0% DPH</v>
      </c>
      <c r="V696" s="13" t="s">
        <v>83</v>
      </c>
      <c r="W696" s="13" t="s">
        <v>126</v>
      </c>
      <c r="X696" s="101"/>
      <c r="Y696" s="172">
        <f>'Kalkulace a Porovnání'!Y696</f>
        <v>0</v>
      </c>
      <c r="Z696" s="172">
        <f>'Kalkulace a Porovnání'!Z696</f>
        <v>0</v>
      </c>
      <c r="AA696" s="172">
        <f>'Kalkulace a Porovnání'!AA696</f>
        <v>0</v>
      </c>
      <c r="AB696" s="172">
        <f>'Kalkulace a Porovnání'!AB696</f>
        <v>0</v>
      </c>
      <c r="AC696" s="183"/>
      <c r="AD696" s="547"/>
      <c r="AG696" s="547"/>
      <c r="AH696" s="547"/>
      <c r="AI696" s="547"/>
      <c r="AJ696" s="547"/>
      <c r="AK696" s="547"/>
      <c r="AL696" s="183"/>
    </row>
    <row r="697" spans="2:38" x14ac:dyDescent="0.25"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T697" s="967" t="s">
        <v>203</v>
      </c>
      <c r="U697" s="967" t="s">
        <v>202</v>
      </c>
      <c r="V697" s="968" t="s">
        <v>10</v>
      </c>
      <c r="W697" s="919" t="s">
        <v>204</v>
      </c>
      <c r="X697" s="732"/>
      <c r="Y697" s="102" t="s">
        <v>206</v>
      </c>
      <c r="Z697" s="105" t="s">
        <v>207</v>
      </c>
      <c r="AA697" s="102" t="s">
        <v>206</v>
      </c>
      <c r="AB697" s="105" t="s">
        <v>207</v>
      </c>
      <c r="AC697" s="183"/>
      <c r="AD697" s="547"/>
      <c r="AG697" s="547"/>
      <c r="AH697" s="547"/>
      <c r="AI697" s="547"/>
      <c r="AJ697" s="547"/>
      <c r="AK697" s="547"/>
      <c r="AL697" s="183"/>
    </row>
    <row r="698" spans="2:38" x14ac:dyDescent="0.25">
      <c r="B698" s="500"/>
      <c r="C698" s="499"/>
      <c r="D698" s="499"/>
      <c r="E698" s="499"/>
      <c r="F698" s="499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T698" s="967"/>
      <c r="U698" s="967"/>
      <c r="V698" s="968"/>
      <c r="W698" s="969">
        <f>'Kalkulace a Porovnání'!W698</f>
        <v>0</v>
      </c>
      <c r="X698" s="970"/>
      <c r="Y698" s="103">
        <f>'Kalkulace a Porovnání'!Y698</f>
        <v>2029</v>
      </c>
      <c r="Z698" s="103">
        <f>'Kalkulace a Porovnání'!Z698</f>
        <v>2029</v>
      </c>
      <c r="AA698" s="103">
        <f>'Kalkulace a Porovnání'!AA698</f>
        <v>2029</v>
      </c>
      <c r="AB698" s="103">
        <f>'Kalkulace a Porovnání'!AB698</f>
        <v>2029</v>
      </c>
      <c r="AC698" s="183"/>
      <c r="AD698" s="547"/>
      <c r="AG698" s="547"/>
      <c r="AH698" s="547"/>
      <c r="AI698" s="547"/>
      <c r="AJ698" s="547"/>
      <c r="AK698" s="547"/>
      <c r="AL698" s="183"/>
    </row>
    <row r="699" spans="2:38" x14ac:dyDescent="0.25">
      <c r="B699" s="500"/>
      <c r="C699" s="499"/>
      <c r="D699" s="499"/>
      <c r="E699" s="499"/>
      <c r="F699" s="499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T699" s="967"/>
      <c r="U699" s="967"/>
      <c r="V699" s="968"/>
      <c r="W699" s="919" t="s">
        <v>205</v>
      </c>
      <c r="X699" s="732"/>
      <c r="Y699" s="104" t="s">
        <v>208</v>
      </c>
      <c r="Z699" s="104" t="s">
        <v>208</v>
      </c>
      <c r="AA699" s="104" t="s">
        <v>209</v>
      </c>
      <c r="AB699" s="104" t="s">
        <v>209</v>
      </c>
      <c r="AC699" s="183"/>
      <c r="AD699" s="547"/>
      <c r="AG699" s="547"/>
      <c r="AH699" s="547"/>
      <c r="AI699" s="547"/>
      <c r="AJ699" s="547"/>
      <c r="AK699" s="547"/>
      <c r="AL699" s="183"/>
    </row>
    <row r="700" spans="2:38" x14ac:dyDescent="0.25">
      <c r="B700" s="499"/>
      <c r="C700" s="499"/>
      <c r="D700" s="499"/>
      <c r="E700" s="499"/>
      <c r="F700" s="499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T700" s="967"/>
      <c r="U700" s="967"/>
      <c r="V700" s="968"/>
      <c r="W700" s="971">
        <f>'Kalkulace a Porovnání'!W700</f>
        <v>0</v>
      </c>
      <c r="X700" s="971"/>
      <c r="Y700" s="449">
        <f>'Kalkulace a Porovnání'!Y700</f>
        <v>0</v>
      </c>
      <c r="Z700" s="449">
        <f>'Kalkulace a Porovnání'!Z700</f>
        <v>0</v>
      </c>
      <c r="AA700" s="449">
        <f>'Kalkulace a Porovnání'!AA700</f>
        <v>0</v>
      </c>
      <c r="AB700" s="449">
        <f>'Kalkulace a Porovnání'!AB700</f>
        <v>0</v>
      </c>
      <c r="AC700" s="183"/>
      <c r="AD700" s="547"/>
      <c r="AG700" s="547"/>
      <c r="AH700" s="547"/>
      <c r="AI700" s="547"/>
      <c r="AJ700" s="547"/>
      <c r="AK700" s="547"/>
      <c r="AL700" s="183"/>
    </row>
    <row r="701" spans="2:38" x14ac:dyDescent="0.25">
      <c r="B701" s="31"/>
      <c r="AC701" s="183"/>
      <c r="AD701" s="547"/>
      <c r="AG701" s="547"/>
      <c r="AH701" s="547"/>
      <c r="AI701" s="547"/>
      <c r="AJ701" s="547"/>
      <c r="AK701" s="547"/>
      <c r="AL701" s="183"/>
    </row>
    <row r="702" spans="2:38" x14ac:dyDescent="0.25">
      <c r="B702" s="726" t="s">
        <v>393</v>
      </c>
      <c r="C702" s="727"/>
      <c r="D702" s="727"/>
      <c r="E702" s="727"/>
      <c r="F702" s="727"/>
      <c r="G702" s="727"/>
      <c r="H702" s="727"/>
      <c r="K702" s="726" t="s">
        <v>394</v>
      </c>
      <c r="L702" s="727"/>
      <c r="M702" s="727"/>
      <c r="N702" s="727"/>
      <c r="O702" s="727"/>
      <c r="P702" s="727"/>
      <c r="Q702" s="727"/>
      <c r="T702" s="726" t="s">
        <v>210</v>
      </c>
      <c r="U702" s="727"/>
      <c r="V702" s="727"/>
      <c r="W702" s="727"/>
      <c r="X702" s="727"/>
      <c r="Y702" s="727"/>
      <c r="Z702" s="727"/>
      <c r="AA702" s="727"/>
      <c r="AB702" s="727"/>
      <c r="AC702" s="183"/>
      <c r="AD702" s="547"/>
      <c r="AG702" s="547"/>
      <c r="AH702" s="547"/>
      <c r="AI702" s="547"/>
      <c r="AJ702" s="547"/>
      <c r="AK702" s="547"/>
      <c r="AL702" s="183"/>
    </row>
    <row r="703" spans="2:38" x14ac:dyDescent="0.25">
      <c r="C703" s="362"/>
      <c r="E703" s="25"/>
      <c r="F703" s="25"/>
      <c r="L703" s="25"/>
      <c r="N703" s="25"/>
      <c r="T703" s="950" t="s">
        <v>395</v>
      </c>
      <c r="U703" s="950"/>
      <c r="V703" s="950"/>
      <c r="W703" s="950"/>
      <c r="X703" s="950"/>
      <c r="Y703" s="950"/>
      <c r="Z703" s="950"/>
      <c r="AA703" s="950"/>
      <c r="AB703" s="950"/>
      <c r="AC703" s="183"/>
      <c r="AD703" s="547"/>
      <c r="AG703" s="547"/>
      <c r="AH703" s="547"/>
      <c r="AI703" s="547"/>
      <c r="AJ703" s="547"/>
      <c r="AK703" s="547"/>
      <c r="AL703" s="183"/>
    </row>
    <row r="704" spans="2:38" x14ac:dyDescent="0.25">
      <c r="C704" s="362" t="s">
        <v>119</v>
      </c>
      <c r="D704" s="364">
        <f>'Kalkulace a Porovnání'!D704</f>
        <v>2030</v>
      </c>
      <c r="E704" s="25"/>
      <c r="F704" s="362" t="s">
        <v>278</v>
      </c>
      <c r="G704" s="365" t="str">
        <f>'Kalkulace a Porovnání'!G704</f>
        <v>-</v>
      </c>
      <c r="H704" s="365" t="str">
        <f>'Kalkulace a Porovnání'!H704</f>
        <v xml:space="preserve"> </v>
      </c>
      <c r="L704" s="362" t="s">
        <v>119</v>
      </c>
      <c r="M704" s="364">
        <f>'Kalkulace a Porovnání'!M704</f>
        <v>2030</v>
      </c>
      <c r="O704" s="362" t="s">
        <v>278</v>
      </c>
      <c r="P704" s="365" t="str">
        <f>'Kalkulace a Porovnání'!P704</f>
        <v>-</v>
      </c>
      <c r="Q704" s="365" t="str">
        <f>'Kalkulace a Porovnání'!Q704</f>
        <v xml:space="preserve"> </v>
      </c>
      <c r="T704" s="441"/>
      <c r="U704" s="441"/>
      <c r="V704" s="451" t="s">
        <v>195</v>
      </c>
      <c r="W704" s="364">
        <f>'Kalkulace a Porovnání'!W704</f>
        <v>2030</v>
      </c>
      <c r="Z704" s="362" t="s">
        <v>278</v>
      </c>
      <c r="AA704" s="365" t="str">
        <f>'Kalkulace a Porovnání'!AA704</f>
        <v>-</v>
      </c>
      <c r="AB704" s="365" t="str">
        <f>'Kalkulace a Porovnání'!AB704</f>
        <v xml:space="preserve"> </v>
      </c>
      <c r="AC704" s="183"/>
      <c r="AD704" s="547"/>
      <c r="AG704" s="547"/>
      <c r="AH704" s="547"/>
      <c r="AI704" s="547"/>
      <c r="AJ704" s="547"/>
      <c r="AK704" s="547"/>
      <c r="AL704" s="183"/>
    </row>
    <row r="705" spans="2:38" x14ac:dyDescent="0.25">
      <c r="B705" s="13" t="s">
        <v>74</v>
      </c>
      <c r="C705" s="13" t="s">
        <v>105</v>
      </c>
      <c r="D705" s="941" t="str">
        <f>'Kalkulace a Porovnání'!D705</f>
        <v/>
      </c>
      <c r="E705" s="942"/>
      <c r="F705" s="942"/>
      <c r="G705" s="942"/>
      <c r="H705" s="943"/>
      <c r="K705" s="13" t="s">
        <v>74</v>
      </c>
      <c r="L705" s="13" t="s">
        <v>105</v>
      </c>
      <c r="M705" s="941" t="str">
        <f>'Kalkulace a Porovnání'!M705</f>
        <v/>
      </c>
      <c r="N705" s="942"/>
      <c r="O705" s="942"/>
      <c r="P705" s="942"/>
      <c r="Q705" s="943"/>
      <c r="T705" s="13" t="s">
        <v>74</v>
      </c>
      <c r="U705" s="13" t="s">
        <v>105</v>
      </c>
      <c r="V705" s="949" t="str">
        <f>'Kalkulace a Porovnání'!V705</f>
        <v/>
      </c>
      <c r="W705" s="738"/>
      <c r="X705" s="738"/>
      <c r="Y705" s="738"/>
      <c r="Z705" s="738"/>
      <c r="AA705" s="738"/>
      <c r="AB705" s="738"/>
      <c r="AC705" s="183"/>
      <c r="AD705" s="547"/>
      <c r="AG705" s="342"/>
      <c r="AH705" s="342"/>
      <c r="AI705" s="342"/>
      <c r="AJ705" s="342"/>
      <c r="AK705" s="547"/>
      <c r="AL705" s="183"/>
    </row>
    <row r="706" spans="2:38" x14ac:dyDescent="0.25">
      <c r="B706" s="13" t="s">
        <v>100</v>
      </c>
      <c r="C706" s="13" t="s">
        <v>106</v>
      </c>
      <c r="D706" s="941" t="str">
        <f>'Kalkulace a Porovnání'!D706</f>
        <v/>
      </c>
      <c r="E706" s="942"/>
      <c r="F706" s="942"/>
      <c r="G706" s="942"/>
      <c r="H706" s="943"/>
      <c r="K706" s="13" t="s">
        <v>100</v>
      </c>
      <c r="L706" s="13" t="s">
        <v>106</v>
      </c>
      <c r="M706" s="941" t="str">
        <f>'Kalkulace a Porovnání'!M706</f>
        <v/>
      </c>
      <c r="N706" s="942"/>
      <c r="O706" s="942"/>
      <c r="P706" s="942"/>
      <c r="Q706" s="943"/>
      <c r="T706" s="13" t="s">
        <v>100</v>
      </c>
      <c r="U706" s="13" t="s">
        <v>106</v>
      </c>
      <c r="V706" s="949" t="str">
        <f>'Kalkulace a Porovnání'!V706</f>
        <v/>
      </c>
      <c r="W706" s="738"/>
      <c r="X706" s="738"/>
      <c r="Y706" s="738"/>
      <c r="Z706" s="738"/>
      <c r="AA706" s="738"/>
      <c r="AB706" s="738"/>
      <c r="AC706" s="183"/>
      <c r="AD706" s="547"/>
      <c r="AG706" s="342"/>
      <c r="AH706" s="342"/>
      <c r="AI706" s="342"/>
      <c r="AJ706" s="342"/>
      <c r="AK706" s="547"/>
      <c r="AL706" s="183"/>
    </row>
    <row r="707" spans="2:38" x14ac:dyDescent="0.25">
      <c r="B707" s="13" t="s">
        <v>101</v>
      </c>
      <c r="C707" s="13" t="s">
        <v>107</v>
      </c>
      <c r="D707" s="941" t="str">
        <f>'Kalkulace a Porovnání'!D707</f>
        <v xml:space="preserve">Město Kraslice, IČ </v>
      </c>
      <c r="E707" s="942"/>
      <c r="F707" s="942"/>
      <c r="G707" s="942"/>
      <c r="H707" s="943"/>
      <c r="K707" s="13" t="s">
        <v>101</v>
      </c>
      <c r="L707" s="13" t="s">
        <v>107</v>
      </c>
      <c r="M707" s="941" t="str">
        <f>'Kalkulace a Porovnání'!M707</f>
        <v xml:space="preserve">Město Kraslice, IČ </v>
      </c>
      <c r="N707" s="942"/>
      <c r="O707" s="942"/>
      <c r="P707" s="942"/>
      <c r="Q707" s="943"/>
      <c r="T707" s="13" t="s">
        <v>101</v>
      </c>
      <c r="U707" s="13" t="s">
        <v>107</v>
      </c>
      <c r="V707" s="949" t="str">
        <f>'Kalkulace a Porovnání'!V707</f>
        <v xml:space="preserve">Město Kraslice, IČ </v>
      </c>
      <c r="W707" s="738"/>
      <c r="X707" s="738"/>
      <c r="Y707" s="738"/>
      <c r="Z707" s="738"/>
      <c r="AA707" s="738"/>
      <c r="AB707" s="738"/>
      <c r="AC707" s="183"/>
      <c r="AD707" s="547"/>
      <c r="AG707" s="342"/>
      <c r="AH707" s="342"/>
      <c r="AI707" s="342"/>
      <c r="AJ707" s="342"/>
      <c r="AK707" s="547"/>
      <c r="AL707" s="183"/>
    </row>
    <row r="708" spans="2:38" x14ac:dyDescent="0.25">
      <c r="B708" s="13" t="s">
        <v>102</v>
      </c>
      <c r="C708" s="13" t="s">
        <v>109</v>
      </c>
      <c r="D708" s="941" t="str">
        <f>'Kalkulace a Porovnání'!D708</f>
        <v>[vyplnit]</v>
      </c>
      <c r="E708" s="942"/>
      <c r="F708" s="942"/>
      <c r="G708" s="942"/>
      <c r="H708" s="943"/>
      <c r="K708" s="13" t="s">
        <v>102</v>
      </c>
      <c r="L708" s="13" t="s">
        <v>109</v>
      </c>
      <c r="M708" s="941" t="str">
        <f>'Kalkulace a Porovnání'!M708</f>
        <v xml:space="preserve"> </v>
      </c>
      <c r="N708" s="942"/>
      <c r="O708" s="942"/>
      <c r="P708" s="942"/>
      <c r="Q708" s="943"/>
      <c r="T708" s="13" t="s">
        <v>102</v>
      </c>
      <c r="U708" s="13" t="s">
        <v>109</v>
      </c>
      <c r="V708" s="949" t="str">
        <f>'Kalkulace a Porovnání'!V708</f>
        <v xml:space="preserve"> </v>
      </c>
      <c r="W708" s="738"/>
      <c r="X708" s="738"/>
      <c r="Y708" s="738"/>
      <c r="Z708" s="738"/>
      <c r="AA708" s="738"/>
      <c r="AB708" s="738"/>
      <c r="AC708" s="183"/>
      <c r="AD708" s="547"/>
      <c r="AG708" s="342"/>
      <c r="AH708" s="342"/>
      <c r="AI708" s="342"/>
      <c r="AJ708" s="342"/>
      <c r="AK708" s="547"/>
      <c r="AL708" s="183"/>
    </row>
    <row r="709" spans="2:38" x14ac:dyDescent="0.25">
      <c r="B709" s="13" t="s">
        <v>103</v>
      </c>
      <c r="C709" s="13" t="s">
        <v>108</v>
      </c>
      <c r="D709" s="941" t="str">
        <f>'Kalkulace a Porovnání'!D709</f>
        <v>[vyplnit]</v>
      </c>
      <c r="E709" s="942"/>
      <c r="F709" s="942"/>
      <c r="G709" s="942"/>
      <c r="H709" s="943"/>
      <c r="K709" s="13" t="s">
        <v>103</v>
      </c>
      <c r="L709" s="13" t="s">
        <v>108</v>
      </c>
      <c r="M709" s="941" t="str">
        <f>'Kalkulace a Porovnání'!M709</f>
        <v xml:space="preserve"> </v>
      </c>
      <c r="N709" s="942"/>
      <c r="O709" s="942"/>
      <c r="P709" s="942"/>
      <c r="Q709" s="943"/>
      <c r="T709" s="13" t="s">
        <v>103</v>
      </c>
      <c r="U709" s="13" t="s">
        <v>108</v>
      </c>
      <c r="V709" s="949" t="str">
        <f>'Kalkulace a Porovnání'!V709</f>
        <v xml:space="preserve"> </v>
      </c>
      <c r="W709" s="738"/>
      <c r="X709" s="738"/>
      <c r="Y709" s="738"/>
      <c r="Z709" s="738"/>
      <c r="AA709" s="738"/>
      <c r="AB709" s="738"/>
      <c r="AC709" s="183"/>
      <c r="AD709" s="547"/>
      <c r="AG709" s="342"/>
      <c r="AH709" s="342"/>
      <c r="AI709" s="342"/>
      <c r="AJ709" s="342"/>
      <c r="AK709" s="547"/>
      <c r="AL709" s="183"/>
    </row>
    <row r="710" spans="2:38" x14ac:dyDescent="0.25">
      <c r="B710" s="13" t="s">
        <v>104</v>
      </c>
      <c r="C710" s="13" t="s">
        <v>110</v>
      </c>
      <c r="D710" s="941" t="str">
        <f>'Kalkulace a Porovnání'!D710</f>
        <v>[vyplnit]</v>
      </c>
      <c r="E710" s="942"/>
      <c r="F710" s="942"/>
      <c r="G710" s="942"/>
      <c r="H710" s="943"/>
      <c r="K710" s="13" t="s">
        <v>104</v>
      </c>
      <c r="L710" s="13" t="s">
        <v>110</v>
      </c>
      <c r="M710" s="941" t="str">
        <f>'Kalkulace a Porovnání'!M710</f>
        <v xml:space="preserve"> </v>
      </c>
      <c r="N710" s="942"/>
      <c r="O710" s="942"/>
      <c r="P710" s="942"/>
      <c r="Q710" s="943"/>
      <c r="T710" s="13" t="s">
        <v>104</v>
      </c>
      <c r="U710" s="13" t="s">
        <v>110</v>
      </c>
      <c r="V710" s="949" t="str">
        <f>'Kalkulace a Porovnání'!V710</f>
        <v xml:space="preserve"> </v>
      </c>
      <c r="W710" s="738"/>
      <c r="X710" s="738"/>
      <c r="Y710" s="738"/>
      <c r="Z710" s="738"/>
      <c r="AA710" s="738"/>
      <c r="AB710" s="738"/>
      <c r="AC710" s="183"/>
      <c r="AD710" s="547"/>
      <c r="AG710" s="342"/>
      <c r="AH710" s="342"/>
      <c r="AI710" s="342"/>
      <c r="AJ710" s="342"/>
      <c r="AK710" s="547"/>
      <c r="AL710" s="183"/>
    </row>
    <row r="711" spans="2:38" x14ac:dyDescent="0.25">
      <c r="AC711" s="183"/>
      <c r="AD711" s="547"/>
      <c r="AG711" s="342"/>
      <c r="AH711" s="342"/>
      <c r="AI711" s="342"/>
      <c r="AJ711" s="342"/>
      <c r="AK711" s="547"/>
      <c r="AL711" s="183"/>
    </row>
    <row r="712" spans="2:38" x14ac:dyDescent="0.25">
      <c r="B712" s="932" t="s">
        <v>5</v>
      </c>
      <c r="C712" s="721" t="s">
        <v>0</v>
      </c>
      <c r="D712" s="722"/>
      <c r="E712" s="722"/>
      <c r="F712" s="722"/>
      <c r="G712" s="722"/>
      <c r="H712" s="725"/>
      <c r="K712" s="932" t="s">
        <v>5</v>
      </c>
      <c r="L712" s="721" t="s">
        <v>0</v>
      </c>
      <c r="M712" s="722"/>
      <c r="N712" s="722"/>
      <c r="O712" s="722"/>
      <c r="P712" s="722"/>
      <c r="Q712" s="725"/>
      <c r="T712" s="932" t="s">
        <v>5</v>
      </c>
      <c r="U712" s="721" t="s">
        <v>0</v>
      </c>
      <c r="V712" s="722"/>
      <c r="W712" s="722"/>
      <c r="X712" s="722"/>
      <c r="Y712" s="722"/>
      <c r="Z712" s="722"/>
      <c r="AA712" s="722"/>
      <c r="AB712" s="725"/>
      <c r="AC712" s="183"/>
      <c r="AD712" s="547"/>
      <c r="AG712" s="342"/>
      <c r="AH712" s="342"/>
      <c r="AI712" s="342"/>
      <c r="AJ712" s="342"/>
      <c r="AK712" s="547"/>
      <c r="AL712" s="183"/>
    </row>
    <row r="713" spans="2:38" x14ac:dyDescent="0.25">
      <c r="B713" s="930"/>
      <c r="C713" s="932" t="s">
        <v>1</v>
      </c>
      <c r="D713" s="929" t="s">
        <v>173</v>
      </c>
      <c r="E713" s="721" t="s">
        <v>3</v>
      </c>
      <c r="F713" s="722"/>
      <c r="G713" s="721" t="s">
        <v>4</v>
      </c>
      <c r="H713" s="725"/>
      <c r="K713" s="930"/>
      <c r="L713" s="932" t="s">
        <v>1</v>
      </c>
      <c r="M713" s="929" t="s">
        <v>173</v>
      </c>
      <c r="N713" s="721" t="s">
        <v>3</v>
      </c>
      <c r="O713" s="722"/>
      <c r="P713" s="721" t="s">
        <v>4</v>
      </c>
      <c r="Q713" s="725"/>
      <c r="T713" s="930"/>
      <c r="U713" s="932" t="s">
        <v>1</v>
      </c>
      <c r="V713" s="929" t="s">
        <v>173</v>
      </c>
      <c r="W713" s="721" t="s">
        <v>3</v>
      </c>
      <c r="X713" s="722"/>
      <c r="Y713" s="722"/>
      <c r="Z713" s="721" t="s">
        <v>4</v>
      </c>
      <c r="AA713" s="722"/>
      <c r="AB713" s="725"/>
      <c r="AC713" s="183"/>
      <c r="AD713" s="547"/>
      <c r="AG713" s="342"/>
      <c r="AH713" s="342"/>
      <c r="AI713" s="342"/>
      <c r="AJ713" s="342"/>
      <c r="AK713" s="547"/>
      <c r="AL713" s="183"/>
    </row>
    <row r="714" spans="2:38" x14ac:dyDescent="0.25">
      <c r="B714" s="930"/>
      <c r="C714" s="930"/>
      <c r="D714" s="930"/>
      <c r="E714" s="30">
        <f>'Kalkulace a Porovnání'!E714</f>
        <v>2029</v>
      </c>
      <c r="F714" s="30">
        <f>'Kalkulace a Porovnání'!F714</f>
        <v>2030</v>
      </c>
      <c r="G714" s="30">
        <f>'Kalkulace a Porovnání'!G714</f>
        <v>2029</v>
      </c>
      <c r="H714" s="30">
        <f>'Kalkulace a Porovnání'!H714</f>
        <v>2030</v>
      </c>
      <c r="K714" s="930"/>
      <c r="L714" s="930"/>
      <c r="M714" s="930"/>
      <c r="N714" s="30">
        <f>'Kalkulace a Porovnání'!N714</f>
        <v>2029</v>
      </c>
      <c r="O714" s="30">
        <f>'Kalkulace a Porovnání'!O714</f>
        <v>2030</v>
      </c>
      <c r="P714" s="30">
        <f>'Kalkulace a Porovnání'!P714</f>
        <v>2029</v>
      </c>
      <c r="Q714" s="30">
        <f>'Kalkulace a Porovnání'!Q714</f>
        <v>2030</v>
      </c>
      <c r="T714" s="930"/>
      <c r="U714" s="930"/>
      <c r="V714" s="930"/>
      <c r="W714" s="30">
        <f>'Kalkulace a Porovnání'!W714</f>
        <v>2030</v>
      </c>
      <c r="X714" s="30">
        <f>'Kalkulace a Porovnání'!X714</f>
        <v>2030</v>
      </c>
      <c r="Y714" s="30">
        <f>'Kalkulace a Porovnání'!Y714</f>
        <v>2030</v>
      </c>
      <c r="Z714" s="30">
        <f>'Kalkulace a Porovnání'!Z714</f>
        <v>2030</v>
      </c>
      <c r="AA714" s="30">
        <f>'Kalkulace a Porovnání'!AA714</f>
        <v>2030</v>
      </c>
      <c r="AB714" s="30">
        <f>'Kalkulace a Porovnání'!AB714</f>
        <v>2030</v>
      </c>
      <c r="AC714" s="183"/>
      <c r="AD714" s="547"/>
      <c r="AG714" s="342"/>
      <c r="AH714" s="342"/>
      <c r="AI714" s="342"/>
      <c r="AJ714" s="342"/>
      <c r="AK714" s="547"/>
      <c r="AL714" s="183"/>
    </row>
    <row r="715" spans="2:38" x14ac:dyDescent="0.25">
      <c r="B715" s="931"/>
      <c r="C715" s="931"/>
      <c r="D715" s="931"/>
      <c r="E715" s="7" t="s">
        <v>199</v>
      </c>
      <c r="F715" s="7" t="s">
        <v>114</v>
      </c>
      <c r="G715" s="7" t="s">
        <v>199</v>
      </c>
      <c r="H715" s="19" t="s">
        <v>114</v>
      </c>
      <c r="K715" s="931"/>
      <c r="L715" s="931"/>
      <c r="M715" s="931"/>
      <c r="N715" s="7" t="s">
        <v>199</v>
      </c>
      <c r="O715" s="7" t="s">
        <v>114</v>
      </c>
      <c r="P715" s="7" t="s">
        <v>199</v>
      </c>
      <c r="Q715" s="19" t="s">
        <v>114</v>
      </c>
      <c r="T715" s="931"/>
      <c r="U715" s="931"/>
      <c r="V715" s="931"/>
      <c r="W715" s="7" t="s">
        <v>198</v>
      </c>
      <c r="X715" s="7" t="s">
        <v>114</v>
      </c>
      <c r="Y715" s="7" t="s">
        <v>197</v>
      </c>
      <c r="Z715" s="7" t="s">
        <v>198</v>
      </c>
      <c r="AA715" s="7" t="s">
        <v>114</v>
      </c>
      <c r="AB715" s="19" t="s">
        <v>197</v>
      </c>
      <c r="AC715" s="183"/>
      <c r="AD715" s="547"/>
      <c r="AG715" s="342"/>
      <c r="AH715" s="342"/>
      <c r="AI715" s="342"/>
      <c r="AJ715" s="342"/>
      <c r="AK715" s="547"/>
      <c r="AL715" s="183"/>
    </row>
    <row r="716" spans="2:38" x14ac:dyDescent="0.25">
      <c r="B716" s="11">
        <v>1</v>
      </c>
      <c r="C716" s="11">
        <v>2</v>
      </c>
      <c r="D716" s="11" t="s">
        <v>111</v>
      </c>
      <c r="E716" s="11">
        <v>3</v>
      </c>
      <c r="F716" s="11">
        <v>4</v>
      </c>
      <c r="G716" s="11">
        <v>6</v>
      </c>
      <c r="H716" s="22">
        <v>7</v>
      </c>
      <c r="K716" s="11">
        <v>1</v>
      </c>
      <c r="L716" s="11">
        <v>2</v>
      </c>
      <c r="M716" s="11" t="s">
        <v>111</v>
      </c>
      <c r="N716" s="11">
        <v>3</v>
      </c>
      <c r="O716" s="11">
        <v>4</v>
      </c>
      <c r="P716" s="11">
        <v>6</v>
      </c>
      <c r="Q716" s="22">
        <v>7</v>
      </c>
      <c r="T716" s="11">
        <v>1</v>
      </c>
      <c r="U716" s="11">
        <v>2</v>
      </c>
      <c r="V716" s="11" t="s">
        <v>111</v>
      </c>
      <c r="W716" s="11">
        <v>3</v>
      </c>
      <c r="X716" s="11">
        <v>4</v>
      </c>
      <c r="Y716" s="11">
        <v>5</v>
      </c>
      <c r="Z716" s="11">
        <v>6</v>
      </c>
      <c r="AA716" s="11">
        <v>7</v>
      </c>
      <c r="AB716" s="22">
        <v>8</v>
      </c>
      <c r="AC716" s="183"/>
      <c r="AD716" s="547"/>
      <c r="AG716" s="342"/>
      <c r="AH716" s="342"/>
      <c r="AI716" s="342"/>
      <c r="AJ716" s="342"/>
      <c r="AK716" s="547"/>
      <c r="AL716" s="183"/>
    </row>
    <row r="717" spans="2:38" x14ac:dyDescent="0.25">
      <c r="B717" s="9" t="s">
        <v>8</v>
      </c>
      <c r="C717" s="10" t="s">
        <v>9</v>
      </c>
      <c r="D717" s="11" t="s">
        <v>10</v>
      </c>
      <c r="E717" s="46">
        <f>'Kalkulace a Porovnání'!E717</f>
        <v>0</v>
      </c>
      <c r="F717" s="46">
        <f>'Kalkulace a Porovnání'!F717</f>
        <v>0</v>
      </c>
      <c r="G717" s="46">
        <f>'Kalkulace a Porovnání'!G717</f>
        <v>0</v>
      </c>
      <c r="H717" s="98">
        <f>'Kalkulace a Porovnání'!H717</f>
        <v>0</v>
      </c>
      <c r="K717" s="9" t="s">
        <v>8</v>
      </c>
      <c r="L717" s="10" t="s">
        <v>9</v>
      </c>
      <c r="M717" s="11" t="s">
        <v>10</v>
      </c>
      <c r="N717" s="46">
        <f>'Kalkulace a Porovnání'!N717</f>
        <v>0</v>
      </c>
      <c r="O717" s="46">
        <f>'Kalkulace a Porovnání'!O717</f>
        <v>0</v>
      </c>
      <c r="P717" s="46">
        <f>'Kalkulace a Porovnání'!P717</f>
        <v>0</v>
      </c>
      <c r="Q717" s="98">
        <f>'Kalkulace a Porovnání'!Q717</f>
        <v>0</v>
      </c>
      <c r="T717" s="9" t="s">
        <v>8</v>
      </c>
      <c r="U717" s="10" t="s">
        <v>9</v>
      </c>
      <c r="V717" s="11" t="s">
        <v>10</v>
      </c>
      <c r="W717" s="46">
        <f>'Kalkulace a Porovnání'!W717</f>
        <v>0</v>
      </c>
      <c r="X717" s="46">
        <f>'Kalkulace a Porovnání'!X717</f>
        <v>0</v>
      </c>
      <c r="Y717" s="46">
        <f>'Kalkulace a Porovnání'!Y717</f>
        <v>0</v>
      </c>
      <c r="Z717" s="46">
        <f>'Kalkulace a Porovnání'!Z717</f>
        <v>0</v>
      </c>
      <c r="AA717" s="46">
        <f>'Kalkulace a Porovnání'!AA717</f>
        <v>0</v>
      </c>
      <c r="AB717" s="98">
        <f>'Kalkulace a Porovnání'!AB717</f>
        <v>0</v>
      </c>
      <c r="AC717" s="183"/>
      <c r="AD717" s="547"/>
      <c r="AG717" s="342"/>
      <c r="AH717" s="342"/>
      <c r="AI717" s="342"/>
      <c r="AJ717" s="342"/>
      <c r="AK717" s="547"/>
      <c r="AL717" s="183"/>
    </row>
    <row r="718" spans="2:38" x14ac:dyDescent="0.25">
      <c r="B718" s="12" t="s">
        <v>11</v>
      </c>
      <c r="C718" s="13" t="s">
        <v>12</v>
      </c>
      <c r="D718" s="3" t="s">
        <v>10</v>
      </c>
      <c r="E718" s="49">
        <f>'Kalkulace a Porovnání'!E718</f>
        <v>0</v>
      </c>
      <c r="F718" s="49">
        <f>'Kalkulace a Porovnání'!F718</f>
        <v>0</v>
      </c>
      <c r="G718" s="49">
        <f>'Kalkulace a Porovnání'!G718</f>
        <v>0</v>
      </c>
      <c r="H718" s="32">
        <f>'Kalkulace a Porovnání'!H718</f>
        <v>0</v>
      </c>
      <c r="K718" s="12" t="s">
        <v>11</v>
      </c>
      <c r="L718" s="13" t="s">
        <v>12</v>
      </c>
      <c r="M718" s="3" t="s">
        <v>10</v>
      </c>
      <c r="N718" s="49">
        <f>'Kalkulace a Porovnání'!N718</f>
        <v>0</v>
      </c>
      <c r="O718" s="49">
        <f>'Kalkulace a Porovnání'!O718</f>
        <v>0</v>
      </c>
      <c r="P718" s="49">
        <f>'Kalkulace a Porovnání'!P718</f>
        <v>0</v>
      </c>
      <c r="Q718" s="32">
        <f>'Kalkulace a Porovnání'!Q718</f>
        <v>0</v>
      </c>
      <c r="T718" s="12" t="s">
        <v>11</v>
      </c>
      <c r="U718" s="13" t="s">
        <v>12</v>
      </c>
      <c r="V718" s="3" t="s">
        <v>10</v>
      </c>
      <c r="W718" s="49">
        <f>'Kalkulace a Porovnání'!W718</f>
        <v>0</v>
      </c>
      <c r="X718" s="49">
        <f>'Kalkulace a Porovnání'!X718</f>
        <v>0</v>
      </c>
      <c r="Y718" s="49">
        <f>'Kalkulace a Porovnání'!Y718</f>
        <v>0</v>
      </c>
      <c r="Z718" s="49">
        <f>'Kalkulace a Porovnání'!Z718</f>
        <v>0</v>
      </c>
      <c r="AA718" s="49">
        <f>'Kalkulace a Porovnání'!AA718</f>
        <v>0</v>
      </c>
      <c r="AB718" s="32">
        <f>'Kalkulace a Porovnání'!AB718</f>
        <v>0</v>
      </c>
      <c r="AC718" s="183"/>
      <c r="AD718" s="547"/>
      <c r="AG718" s="342"/>
      <c r="AH718" s="342"/>
      <c r="AI718" s="342"/>
      <c r="AJ718" s="342"/>
      <c r="AK718" s="547"/>
      <c r="AL718" s="183"/>
    </row>
    <row r="719" spans="2:38" x14ac:dyDescent="0.25">
      <c r="B719" s="12" t="s">
        <v>13</v>
      </c>
      <c r="C719" s="12" t="s">
        <v>14</v>
      </c>
      <c r="D719" s="3" t="s">
        <v>10</v>
      </c>
      <c r="E719" s="49">
        <f>'Kalkulace a Porovnání'!E719</f>
        <v>0</v>
      </c>
      <c r="F719" s="49">
        <f>'Kalkulace a Porovnání'!F719</f>
        <v>0</v>
      </c>
      <c r="G719" s="49">
        <f>'Kalkulace a Porovnání'!G719</f>
        <v>0</v>
      </c>
      <c r="H719" s="32">
        <f>'Kalkulace a Porovnání'!H719</f>
        <v>0</v>
      </c>
      <c r="K719" s="12" t="s">
        <v>13</v>
      </c>
      <c r="L719" s="12" t="s">
        <v>14</v>
      </c>
      <c r="M719" s="3" t="s">
        <v>10</v>
      </c>
      <c r="N719" s="49">
        <f>'Kalkulace a Porovnání'!N719</f>
        <v>0</v>
      </c>
      <c r="O719" s="49">
        <f>'Kalkulace a Porovnání'!O719</f>
        <v>0</v>
      </c>
      <c r="P719" s="49">
        <f>'Kalkulace a Porovnání'!P719</f>
        <v>0</v>
      </c>
      <c r="Q719" s="32">
        <f>'Kalkulace a Porovnání'!Q719</f>
        <v>0</v>
      </c>
      <c r="T719" s="12" t="s">
        <v>13</v>
      </c>
      <c r="U719" s="12" t="s">
        <v>14</v>
      </c>
      <c r="V719" s="3" t="s">
        <v>10</v>
      </c>
      <c r="W719" s="49">
        <f>'Kalkulace a Porovnání'!W719</f>
        <v>0</v>
      </c>
      <c r="X719" s="49">
        <f>'Kalkulace a Porovnání'!X719</f>
        <v>0</v>
      </c>
      <c r="Y719" s="49">
        <f>'Kalkulace a Porovnání'!Y719</f>
        <v>0</v>
      </c>
      <c r="Z719" s="49">
        <f>'Kalkulace a Porovnání'!Z719</f>
        <v>0</v>
      </c>
      <c r="AA719" s="49">
        <f>'Kalkulace a Porovnání'!AA719</f>
        <v>0</v>
      </c>
      <c r="AB719" s="32">
        <f>'Kalkulace a Porovnání'!AB719</f>
        <v>0</v>
      </c>
      <c r="AC719" s="183"/>
      <c r="AD719" s="547"/>
      <c r="AG719" s="342"/>
      <c r="AH719" s="342"/>
      <c r="AI719" s="342"/>
      <c r="AJ719" s="342"/>
      <c r="AK719" s="547"/>
      <c r="AL719" s="183"/>
    </row>
    <row r="720" spans="2:38" x14ac:dyDescent="0.25">
      <c r="B720" s="12" t="s">
        <v>15</v>
      </c>
      <c r="C720" s="13" t="s">
        <v>16</v>
      </c>
      <c r="D720" s="3" t="s">
        <v>10</v>
      </c>
      <c r="E720" s="49">
        <f>'Kalkulace a Porovnání'!E720</f>
        <v>0</v>
      </c>
      <c r="F720" s="49">
        <f>'Kalkulace a Porovnání'!F720</f>
        <v>0</v>
      </c>
      <c r="G720" s="49">
        <f>'Kalkulace a Porovnání'!G720</f>
        <v>0</v>
      </c>
      <c r="H720" s="32">
        <f>'Kalkulace a Porovnání'!H720</f>
        <v>0</v>
      </c>
      <c r="K720" s="12" t="s">
        <v>15</v>
      </c>
      <c r="L720" s="13" t="s">
        <v>16</v>
      </c>
      <c r="M720" s="3" t="s">
        <v>10</v>
      </c>
      <c r="N720" s="49">
        <f>'Kalkulace a Porovnání'!N720</f>
        <v>0</v>
      </c>
      <c r="O720" s="49">
        <f>'Kalkulace a Porovnání'!O720</f>
        <v>0</v>
      </c>
      <c r="P720" s="49">
        <f>'Kalkulace a Porovnání'!P720</f>
        <v>0</v>
      </c>
      <c r="Q720" s="32">
        <f>'Kalkulace a Porovnání'!Q720</f>
        <v>0</v>
      </c>
      <c r="T720" s="12" t="s">
        <v>15</v>
      </c>
      <c r="U720" s="13" t="s">
        <v>16</v>
      </c>
      <c r="V720" s="3" t="s">
        <v>10</v>
      </c>
      <c r="W720" s="49">
        <f>'Kalkulace a Porovnání'!W720</f>
        <v>0</v>
      </c>
      <c r="X720" s="49">
        <f>'Kalkulace a Porovnání'!X720</f>
        <v>0</v>
      </c>
      <c r="Y720" s="49">
        <f>'Kalkulace a Porovnání'!Y720</f>
        <v>0</v>
      </c>
      <c r="Z720" s="49">
        <f>'Kalkulace a Porovnání'!Z720</f>
        <v>0</v>
      </c>
      <c r="AA720" s="49">
        <f>'Kalkulace a Porovnání'!AA720</f>
        <v>0</v>
      </c>
      <c r="AB720" s="32">
        <f>'Kalkulace a Porovnání'!AB720</f>
        <v>0</v>
      </c>
      <c r="AC720" s="183"/>
      <c r="AD720" s="547"/>
      <c r="AG720" s="342"/>
      <c r="AH720" s="342"/>
      <c r="AI720" s="342"/>
      <c r="AJ720" s="342"/>
      <c r="AK720" s="547"/>
      <c r="AL720" s="183"/>
    </row>
    <row r="721" spans="2:38" x14ac:dyDescent="0.25">
      <c r="B721" s="12" t="s">
        <v>17</v>
      </c>
      <c r="C721" s="13" t="s">
        <v>18</v>
      </c>
      <c r="D721" s="3" t="s">
        <v>10</v>
      </c>
      <c r="E721" s="49">
        <f>'Kalkulace a Porovnání'!E721</f>
        <v>0</v>
      </c>
      <c r="F721" s="49">
        <f>'Kalkulace a Porovnání'!F721</f>
        <v>0</v>
      </c>
      <c r="G721" s="49">
        <f>'Kalkulace a Porovnání'!G721</f>
        <v>0</v>
      </c>
      <c r="H721" s="32">
        <f>'Kalkulace a Porovnání'!H721</f>
        <v>0</v>
      </c>
      <c r="K721" s="12" t="s">
        <v>17</v>
      </c>
      <c r="L721" s="13" t="s">
        <v>18</v>
      </c>
      <c r="M721" s="3" t="s">
        <v>10</v>
      </c>
      <c r="N721" s="49">
        <f>'Kalkulace a Porovnání'!N721</f>
        <v>0</v>
      </c>
      <c r="O721" s="49">
        <f>'Kalkulace a Porovnání'!O721</f>
        <v>0</v>
      </c>
      <c r="P721" s="49">
        <f>'Kalkulace a Porovnání'!P721</f>
        <v>0</v>
      </c>
      <c r="Q721" s="32">
        <f>'Kalkulace a Porovnání'!Q721</f>
        <v>0</v>
      </c>
      <c r="T721" s="12" t="s">
        <v>17</v>
      </c>
      <c r="U721" s="13" t="s">
        <v>18</v>
      </c>
      <c r="V721" s="3" t="s">
        <v>10</v>
      </c>
      <c r="W721" s="49">
        <f>'Kalkulace a Porovnání'!W721</f>
        <v>0</v>
      </c>
      <c r="X721" s="49">
        <f>'Kalkulace a Porovnání'!X721</f>
        <v>0</v>
      </c>
      <c r="Y721" s="49">
        <f>'Kalkulace a Porovnání'!Y721</f>
        <v>0</v>
      </c>
      <c r="Z721" s="49">
        <f>'Kalkulace a Porovnání'!Z721</f>
        <v>0</v>
      </c>
      <c r="AA721" s="49">
        <f>'Kalkulace a Porovnání'!AA721</f>
        <v>0</v>
      </c>
      <c r="AB721" s="32">
        <f>'Kalkulace a Porovnání'!AB721</f>
        <v>0</v>
      </c>
      <c r="AC721" s="183"/>
      <c r="AD721" s="547"/>
      <c r="AG721" s="342"/>
      <c r="AH721" s="342"/>
      <c r="AI721" s="342"/>
      <c r="AJ721" s="342"/>
      <c r="AK721" s="547"/>
      <c r="AL721" s="183"/>
    </row>
    <row r="722" spans="2:38" x14ac:dyDescent="0.25">
      <c r="B722" s="9" t="s">
        <v>19</v>
      </c>
      <c r="C722" s="10" t="s">
        <v>20</v>
      </c>
      <c r="D722" s="11" t="s">
        <v>10</v>
      </c>
      <c r="E722" s="46">
        <f>'Kalkulace a Porovnání'!E722</f>
        <v>0</v>
      </c>
      <c r="F722" s="46">
        <f>'Kalkulace a Porovnání'!F722</f>
        <v>0</v>
      </c>
      <c r="G722" s="46">
        <f>'Kalkulace a Porovnání'!G722</f>
        <v>0</v>
      </c>
      <c r="H722" s="98">
        <f>'Kalkulace a Porovnání'!H722</f>
        <v>0</v>
      </c>
      <c r="K722" s="9" t="s">
        <v>19</v>
      </c>
      <c r="L722" s="10" t="s">
        <v>20</v>
      </c>
      <c r="M722" s="11" t="s">
        <v>10</v>
      </c>
      <c r="N722" s="46">
        <f>'Kalkulace a Porovnání'!N722</f>
        <v>0</v>
      </c>
      <c r="O722" s="46">
        <f>'Kalkulace a Porovnání'!O722</f>
        <v>0</v>
      </c>
      <c r="P722" s="46">
        <f>'Kalkulace a Porovnání'!P722</f>
        <v>0</v>
      </c>
      <c r="Q722" s="98">
        <f>'Kalkulace a Porovnání'!Q722</f>
        <v>0</v>
      </c>
      <c r="T722" s="9" t="s">
        <v>19</v>
      </c>
      <c r="U722" s="10" t="s">
        <v>20</v>
      </c>
      <c r="V722" s="11" t="s">
        <v>10</v>
      </c>
      <c r="W722" s="46">
        <f>'Kalkulace a Porovnání'!W722</f>
        <v>0</v>
      </c>
      <c r="X722" s="46">
        <f>'Kalkulace a Porovnání'!X722</f>
        <v>0</v>
      </c>
      <c r="Y722" s="46">
        <f>'Kalkulace a Porovnání'!Y722</f>
        <v>0</v>
      </c>
      <c r="Z722" s="46">
        <f>'Kalkulace a Porovnání'!Z722</f>
        <v>0</v>
      </c>
      <c r="AA722" s="46">
        <f>'Kalkulace a Porovnání'!AA722</f>
        <v>0</v>
      </c>
      <c r="AB722" s="98">
        <f>'Kalkulace a Porovnání'!AB722</f>
        <v>0</v>
      </c>
      <c r="AC722" s="183"/>
      <c r="AD722" s="547"/>
      <c r="AG722" s="342"/>
      <c r="AH722" s="342"/>
      <c r="AI722" s="342"/>
      <c r="AJ722" s="342"/>
      <c r="AK722" s="547"/>
      <c r="AL722" s="183"/>
    </row>
    <row r="723" spans="2:38" x14ac:dyDescent="0.25">
      <c r="B723" s="12" t="s">
        <v>21</v>
      </c>
      <c r="C723" s="12" t="s">
        <v>22</v>
      </c>
      <c r="D723" s="3" t="s">
        <v>10</v>
      </c>
      <c r="E723" s="49">
        <f>'Kalkulace a Porovnání'!E723</f>
        <v>0</v>
      </c>
      <c r="F723" s="49">
        <f>'Kalkulace a Porovnání'!F723</f>
        <v>0</v>
      </c>
      <c r="G723" s="49">
        <f>'Kalkulace a Porovnání'!G723</f>
        <v>0</v>
      </c>
      <c r="H723" s="32">
        <f>'Kalkulace a Porovnání'!H723</f>
        <v>0</v>
      </c>
      <c r="K723" s="12" t="s">
        <v>21</v>
      </c>
      <c r="L723" s="12" t="s">
        <v>22</v>
      </c>
      <c r="M723" s="3" t="s">
        <v>10</v>
      </c>
      <c r="N723" s="49">
        <f>'Kalkulace a Porovnání'!N723</f>
        <v>0</v>
      </c>
      <c r="O723" s="49">
        <f>'Kalkulace a Porovnání'!O723</f>
        <v>0</v>
      </c>
      <c r="P723" s="49">
        <f>'Kalkulace a Porovnání'!P723</f>
        <v>0</v>
      </c>
      <c r="Q723" s="32">
        <f>'Kalkulace a Porovnání'!Q723</f>
        <v>0</v>
      </c>
      <c r="T723" s="12" t="s">
        <v>21</v>
      </c>
      <c r="U723" s="12" t="s">
        <v>22</v>
      </c>
      <c r="V723" s="3" t="s">
        <v>10</v>
      </c>
      <c r="W723" s="49">
        <f>'Kalkulace a Porovnání'!W723</f>
        <v>0</v>
      </c>
      <c r="X723" s="49">
        <f>'Kalkulace a Porovnání'!X723</f>
        <v>0</v>
      </c>
      <c r="Y723" s="49">
        <f>'Kalkulace a Porovnání'!Y723</f>
        <v>0</v>
      </c>
      <c r="Z723" s="49">
        <f>'Kalkulace a Porovnání'!Z723</f>
        <v>0</v>
      </c>
      <c r="AA723" s="49">
        <f>'Kalkulace a Porovnání'!AA723</f>
        <v>0</v>
      </c>
      <c r="AB723" s="32">
        <f>'Kalkulace a Porovnání'!AB723</f>
        <v>0</v>
      </c>
      <c r="AC723" s="183"/>
      <c r="AD723" s="547"/>
      <c r="AG723" s="342"/>
      <c r="AH723" s="342"/>
      <c r="AI723" s="342"/>
      <c r="AJ723" s="342"/>
      <c r="AK723" s="547"/>
      <c r="AL723" s="183"/>
    </row>
    <row r="724" spans="2:38" x14ac:dyDescent="0.25">
      <c r="B724" s="12" t="s">
        <v>23</v>
      </c>
      <c r="C724" s="12" t="s">
        <v>24</v>
      </c>
      <c r="D724" s="3" t="s">
        <v>10</v>
      </c>
      <c r="E724" s="49">
        <f>'Kalkulace a Porovnání'!E724</f>
        <v>0</v>
      </c>
      <c r="F724" s="49">
        <f>'Kalkulace a Porovnání'!F724</f>
        <v>0</v>
      </c>
      <c r="G724" s="49">
        <f>'Kalkulace a Porovnání'!G724</f>
        <v>0</v>
      </c>
      <c r="H724" s="32">
        <f>'Kalkulace a Porovnání'!H724</f>
        <v>0</v>
      </c>
      <c r="K724" s="12" t="s">
        <v>23</v>
      </c>
      <c r="L724" s="12" t="s">
        <v>24</v>
      </c>
      <c r="M724" s="3" t="s">
        <v>10</v>
      </c>
      <c r="N724" s="49">
        <f>'Kalkulace a Porovnání'!N724</f>
        <v>0</v>
      </c>
      <c r="O724" s="49">
        <f>'Kalkulace a Porovnání'!O724</f>
        <v>0</v>
      </c>
      <c r="P724" s="49">
        <f>'Kalkulace a Porovnání'!P724</f>
        <v>0</v>
      </c>
      <c r="Q724" s="32">
        <f>'Kalkulace a Porovnání'!Q724</f>
        <v>0</v>
      </c>
      <c r="T724" s="12" t="s">
        <v>23</v>
      </c>
      <c r="U724" s="12" t="s">
        <v>24</v>
      </c>
      <c r="V724" s="3" t="s">
        <v>10</v>
      </c>
      <c r="W724" s="49">
        <f>'Kalkulace a Porovnání'!W724</f>
        <v>0</v>
      </c>
      <c r="X724" s="49">
        <f>'Kalkulace a Porovnání'!X724</f>
        <v>0</v>
      </c>
      <c r="Y724" s="49">
        <f>'Kalkulace a Porovnání'!Y724</f>
        <v>0</v>
      </c>
      <c r="Z724" s="49">
        <f>'Kalkulace a Porovnání'!Z724</f>
        <v>0</v>
      </c>
      <c r="AA724" s="49">
        <f>'Kalkulace a Porovnání'!AA724</f>
        <v>0</v>
      </c>
      <c r="AB724" s="32">
        <f>'Kalkulace a Porovnání'!AB724</f>
        <v>0</v>
      </c>
      <c r="AC724" s="183"/>
      <c r="AD724" s="547"/>
      <c r="AG724" s="342"/>
      <c r="AH724" s="342"/>
      <c r="AI724" s="342"/>
      <c r="AJ724" s="342"/>
      <c r="AK724" s="547"/>
      <c r="AL724" s="183"/>
    </row>
    <row r="725" spans="2:38" x14ac:dyDescent="0.25">
      <c r="B725" s="9" t="s">
        <v>25</v>
      </c>
      <c r="C725" s="10" t="s">
        <v>26</v>
      </c>
      <c r="D725" s="11" t="s">
        <v>10</v>
      </c>
      <c r="E725" s="46">
        <f>'Kalkulace a Porovnání'!E725</f>
        <v>0</v>
      </c>
      <c r="F725" s="46">
        <f>'Kalkulace a Porovnání'!F725</f>
        <v>0</v>
      </c>
      <c r="G725" s="46">
        <f>'Kalkulace a Porovnání'!G725</f>
        <v>0</v>
      </c>
      <c r="H725" s="98">
        <f>'Kalkulace a Porovnání'!H725</f>
        <v>0</v>
      </c>
      <c r="K725" s="9" t="s">
        <v>25</v>
      </c>
      <c r="L725" s="10" t="s">
        <v>26</v>
      </c>
      <c r="M725" s="11" t="s">
        <v>10</v>
      </c>
      <c r="N725" s="46">
        <f>'Kalkulace a Porovnání'!N725</f>
        <v>0</v>
      </c>
      <c r="O725" s="46">
        <f>'Kalkulace a Porovnání'!O725</f>
        <v>0</v>
      </c>
      <c r="P725" s="46">
        <f>'Kalkulace a Porovnání'!P725</f>
        <v>0</v>
      </c>
      <c r="Q725" s="98">
        <f>'Kalkulace a Porovnání'!Q725</f>
        <v>0</v>
      </c>
      <c r="T725" s="9" t="s">
        <v>25</v>
      </c>
      <c r="U725" s="10" t="s">
        <v>26</v>
      </c>
      <c r="V725" s="11" t="s">
        <v>10</v>
      </c>
      <c r="W725" s="46">
        <f>'Kalkulace a Porovnání'!W725</f>
        <v>0</v>
      </c>
      <c r="X725" s="46">
        <f>'Kalkulace a Porovnání'!X725</f>
        <v>0</v>
      </c>
      <c r="Y725" s="46">
        <f>'Kalkulace a Porovnání'!Y725</f>
        <v>0</v>
      </c>
      <c r="Z725" s="46">
        <f>'Kalkulace a Porovnání'!Z725</f>
        <v>0</v>
      </c>
      <c r="AA725" s="46">
        <f>'Kalkulace a Porovnání'!AA725</f>
        <v>0</v>
      </c>
      <c r="AB725" s="98">
        <f>'Kalkulace a Porovnání'!AB725</f>
        <v>0</v>
      </c>
      <c r="AC725" s="183"/>
      <c r="AD725" s="547"/>
      <c r="AG725" s="342"/>
      <c r="AH725" s="342"/>
      <c r="AI725" s="342"/>
      <c r="AJ725" s="342"/>
      <c r="AK725" s="547"/>
      <c r="AL725" s="183"/>
    </row>
    <row r="726" spans="2:38" x14ac:dyDescent="0.25">
      <c r="B726" s="12" t="s">
        <v>27</v>
      </c>
      <c r="C726" s="13" t="s">
        <v>28</v>
      </c>
      <c r="D726" s="3" t="s">
        <v>10</v>
      </c>
      <c r="E726" s="49">
        <f>'Kalkulace a Porovnání'!E726</f>
        <v>0</v>
      </c>
      <c r="F726" s="49">
        <f>'Kalkulace a Porovnání'!F726</f>
        <v>0</v>
      </c>
      <c r="G726" s="49">
        <f>'Kalkulace a Porovnání'!G726</f>
        <v>0</v>
      </c>
      <c r="H726" s="32">
        <f>'Kalkulace a Porovnání'!H726</f>
        <v>0</v>
      </c>
      <c r="K726" s="12" t="s">
        <v>27</v>
      </c>
      <c r="L726" s="13" t="s">
        <v>28</v>
      </c>
      <c r="M726" s="3" t="s">
        <v>10</v>
      </c>
      <c r="N726" s="49">
        <f>'Kalkulace a Porovnání'!N726</f>
        <v>0</v>
      </c>
      <c r="O726" s="49">
        <f>'Kalkulace a Porovnání'!O726</f>
        <v>0</v>
      </c>
      <c r="P726" s="49">
        <f>'Kalkulace a Porovnání'!P726</f>
        <v>0</v>
      </c>
      <c r="Q726" s="32">
        <f>'Kalkulace a Porovnání'!Q726</f>
        <v>0</v>
      </c>
      <c r="T726" s="12" t="s">
        <v>27</v>
      </c>
      <c r="U726" s="13" t="s">
        <v>28</v>
      </c>
      <c r="V726" s="3" t="s">
        <v>10</v>
      </c>
      <c r="W726" s="49">
        <f>'Kalkulace a Porovnání'!W726</f>
        <v>0</v>
      </c>
      <c r="X726" s="49">
        <f>'Kalkulace a Porovnání'!X726</f>
        <v>0</v>
      </c>
      <c r="Y726" s="49">
        <f>'Kalkulace a Porovnání'!Y726</f>
        <v>0</v>
      </c>
      <c r="Z726" s="49">
        <f>'Kalkulace a Porovnání'!Z726</f>
        <v>0</v>
      </c>
      <c r="AA726" s="49">
        <f>'Kalkulace a Porovnání'!AA726</f>
        <v>0</v>
      </c>
      <c r="AB726" s="32">
        <f>'Kalkulace a Porovnání'!AB726</f>
        <v>0</v>
      </c>
      <c r="AC726" s="183"/>
      <c r="AD726" s="547"/>
      <c r="AG726" s="342"/>
      <c r="AH726" s="342"/>
      <c r="AI726" s="342"/>
      <c r="AJ726" s="342"/>
      <c r="AK726" s="547"/>
      <c r="AL726" s="183"/>
    </row>
    <row r="727" spans="2:38" x14ac:dyDescent="0.25">
      <c r="B727" s="12" t="s">
        <v>29</v>
      </c>
      <c r="C727" s="13" t="s">
        <v>30</v>
      </c>
      <c r="D727" s="3" t="s">
        <v>10</v>
      </c>
      <c r="E727" s="49">
        <f>'Kalkulace a Porovnání'!E727</f>
        <v>0</v>
      </c>
      <c r="F727" s="49">
        <f>'Kalkulace a Porovnání'!F727</f>
        <v>0</v>
      </c>
      <c r="G727" s="49">
        <f>'Kalkulace a Porovnání'!G727</f>
        <v>0</v>
      </c>
      <c r="H727" s="32">
        <f>'Kalkulace a Porovnání'!H727</f>
        <v>0</v>
      </c>
      <c r="K727" s="12" t="s">
        <v>29</v>
      </c>
      <c r="L727" s="13" t="s">
        <v>30</v>
      </c>
      <c r="M727" s="3" t="s">
        <v>10</v>
      </c>
      <c r="N727" s="49">
        <f>'Kalkulace a Porovnání'!N727</f>
        <v>0</v>
      </c>
      <c r="O727" s="49">
        <f>'Kalkulace a Porovnání'!O727</f>
        <v>0</v>
      </c>
      <c r="P727" s="49">
        <f>'Kalkulace a Porovnání'!P727</f>
        <v>0</v>
      </c>
      <c r="Q727" s="32">
        <f>'Kalkulace a Porovnání'!Q727</f>
        <v>0</v>
      </c>
      <c r="T727" s="12" t="s">
        <v>29</v>
      </c>
      <c r="U727" s="13" t="s">
        <v>30</v>
      </c>
      <c r="V727" s="3" t="s">
        <v>10</v>
      </c>
      <c r="W727" s="49">
        <f>'Kalkulace a Porovnání'!W727</f>
        <v>0</v>
      </c>
      <c r="X727" s="49">
        <f>'Kalkulace a Porovnání'!X727</f>
        <v>0</v>
      </c>
      <c r="Y727" s="49">
        <f>'Kalkulace a Porovnání'!Y727</f>
        <v>0</v>
      </c>
      <c r="Z727" s="49">
        <f>'Kalkulace a Porovnání'!Z727</f>
        <v>0</v>
      </c>
      <c r="AA727" s="49">
        <f>'Kalkulace a Porovnání'!AA727</f>
        <v>0</v>
      </c>
      <c r="AB727" s="32">
        <f>'Kalkulace a Porovnání'!AB727</f>
        <v>0</v>
      </c>
      <c r="AC727" s="183"/>
      <c r="AD727" s="547"/>
      <c r="AG727" s="342"/>
      <c r="AH727" s="342"/>
      <c r="AI727" s="342"/>
      <c r="AJ727" s="342"/>
      <c r="AK727" s="547"/>
      <c r="AL727" s="183"/>
    </row>
    <row r="728" spans="2:38" x14ac:dyDescent="0.25">
      <c r="B728" s="9" t="s">
        <v>31</v>
      </c>
      <c r="C728" s="10" t="s">
        <v>32</v>
      </c>
      <c r="D728" s="11" t="s">
        <v>10</v>
      </c>
      <c r="E728" s="46">
        <f>'Kalkulace a Porovnání'!E728</f>
        <v>0</v>
      </c>
      <c r="F728" s="46">
        <f>'Kalkulace a Porovnání'!F728</f>
        <v>0</v>
      </c>
      <c r="G728" s="46">
        <f>'Kalkulace a Porovnání'!G728</f>
        <v>0</v>
      </c>
      <c r="H728" s="98">
        <f>'Kalkulace a Porovnání'!H728</f>
        <v>0</v>
      </c>
      <c r="K728" s="9" t="s">
        <v>31</v>
      </c>
      <c r="L728" s="10" t="s">
        <v>32</v>
      </c>
      <c r="M728" s="11" t="s">
        <v>10</v>
      </c>
      <c r="N728" s="46">
        <f>'Kalkulace a Porovnání'!N728</f>
        <v>0</v>
      </c>
      <c r="O728" s="46">
        <f>'Kalkulace a Porovnání'!O728</f>
        <v>0</v>
      </c>
      <c r="P728" s="46">
        <f>'Kalkulace a Porovnání'!P728</f>
        <v>0</v>
      </c>
      <c r="Q728" s="98">
        <f>'Kalkulace a Porovnání'!Q728</f>
        <v>0</v>
      </c>
      <c r="T728" s="9" t="s">
        <v>31</v>
      </c>
      <c r="U728" s="10" t="s">
        <v>32</v>
      </c>
      <c r="V728" s="11" t="s">
        <v>10</v>
      </c>
      <c r="W728" s="46">
        <f>'Kalkulace a Porovnání'!W728</f>
        <v>0</v>
      </c>
      <c r="X728" s="46">
        <f>'Kalkulace a Porovnání'!X728</f>
        <v>0</v>
      </c>
      <c r="Y728" s="46">
        <f>'Kalkulace a Porovnání'!Y728</f>
        <v>0</v>
      </c>
      <c r="Z728" s="46">
        <f>'Kalkulace a Porovnání'!Z728</f>
        <v>0</v>
      </c>
      <c r="AA728" s="46">
        <f>'Kalkulace a Porovnání'!AA728</f>
        <v>0</v>
      </c>
      <c r="AB728" s="98">
        <f>'Kalkulace a Porovnání'!AB728</f>
        <v>0</v>
      </c>
      <c r="AC728" s="183"/>
      <c r="AD728" s="547"/>
      <c r="AG728" s="342"/>
      <c r="AH728" s="342"/>
      <c r="AI728" s="342"/>
      <c r="AJ728" s="342"/>
      <c r="AK728" s="547"/>
      <c r="AL728" s="183"/>
    </row>
    <row r="729" spans="2:38" x14ac:dyDescent="0.25">
      <c r="B729" s="12" t="s">
        <v>33</v>
      </c>
      <c r="C729" s="21" t="s">
        <v>34</v>
      </c>
      <c r="D729" s="3" t="s">
        <v>10</v>
      </c>
      <c r="E729" s="49">
        <f>'Kalkulace a Porovnání'!E729</f>
        <v>0</v>
      </c>
      <c r="F729" s="49">
        <f>'Kalkulace a Porovnání'!F729</f>
        <v>0</v>
      </c>
      <c r="G729" s="49">
        <f>'Kalkulace a Porovnání'!G729</f>
        <v>0</v>
      </c>
      <c r="H729" s="32">
        <f>'Kalkulace a Porovnání'!H729</f>
        <v>0</v>
      </c>
      <c r="K729" s="12" t="s">
        <v>33</v>
      </c>
      <c r="L729" s="21" t="s">
        <v>34</v>
      </c>
      <c r="M729" s="3" t="s">
        <v>10</v>
      </c>
      <c r="N729" s="49">
        <f>'Kalkulace a Porovnání'!N729</f>
        <v>0</v>
      </c>
      <c r="O729" s="49">
        <f>'Kalkulace a Porovnání'!O729</f>
        <v>0</v>
      </c>
      <c r="P729" s="49">
        <f>'Kalkulace a Porovnání'!P729</f>
        <v>0</v>
      </c>
      <c r="Q729" s="32">
        <f>'Kalkulace a Porovnání'!Q729</f>
        <v>0</v>
      </c>
      <c r="T729" s="12" t="s">
        <v>33</v>
      </c>
      <c r="U729" s="21" t="s">
        <v>34</v>
      </c>
      <c r="V729" s="3" t="s">
        <v>10</v>
      </c>
      <c r="W729" s="49">
        <f>'Kalkulace a Porovnání'!W729</f>
        <v>0</v>
      </c>
      <c r="X729" s="49">
        <f>'Kalkulace a Porovnání'!X729</f>
        <v>0</v>
      </c>
      <c r="Y729" s="49">
        <f>'Kalkulace a Porovnání'!Y729</f>
        <v>0</v>
      </c>
      <c r="Z729" s="49">
        <f>'Kalkulace a Porovnání'!Z729</f>
        <v>0</v>
      </c>
      <c r="AA729" s="49">
        <f>'Kalkulace a Porovnání'!AA729</f>
        <v>0</v>
      </c>
      <c r="AB729" s="32">
        <f>'Kalkulace a Porovnání'!AB729</f>
        <v>0</v>
      </c>
      <c r="AC729" s="183"/>
      <c r="AD729" s="547"/>
      <c r="AG729" s="547"/>
      <c r="AH729" s="547"/>
      <c r="AI729" s="342"/>
      <c r="AJ729" s="342"/>
      <c r="AK729" s="547"/>
      <c r="AL729" s="183"/>
    </row>
    <row r="730" spans="2:38" x14ac:dyDescent="0.25">
      <c r="B730" s="12" t="s">
        <v>35</v>
      </c>
      <c r="C730" s="13" t="s">
        <v>36</v>
      </c>
      <c r="D730" s="3" t="s">
        <v>10</v>
      </c>
      <c r="E730" s="49">
        <f>'Kalkulace a Porovnání'!E730</f>
        <v>0</v>
      </c>
      <c r="F730" s="49">
        <f>'Kalkulace a Porovnání'!F730</f>
        <v>0</v>
      </c>
      <c r="G730" s="49">
        <f>'Kalkulace a Porovnání'!G730</f>
        <v>0</v>
      </c>
      <c r="H730" s="32">
        <f>'Kalkulace a Porovnání'!H730</f>
        <v>0</v>
      </c>
      <c r="K730" s="12" t="s">
        <v>35</v>
      </c>
      <c r="L730" s="13" t="s">
        <v>36</v>
      </c>
      <c r="M730" s="3" t="s">
        <v>10</v>
      </c>
      <c r="N730" s="49">
        <f>'Kalkulace a Porovnání'!N730</f>
        <v>0</v>
      </c>
      <c r="O730" s="49">
        <f>'Kalkulace a Porovnání'!O730</f>
        <v>0</v>
      </c>
      <c r="P730" s="49">
        <f>'Kalkulace a Porovnání'!P730</f>
        <v>0</v>
      </c>
      <c r="Q730" s="32">
        <f>'Kalkulace a Porovnání'!Q730</f>
        <v>0</v>
      </c>
      <c r="T730" s="12" t="s">
        <v>35</v>
      </c>
      <c r="U730" s="13" t="s">
        <v>36</v>
      </c>
      <c r="V730" s="3" t="s">
        <v>10</v>
      </c>
      <c r="W730" s="49">
        <f>'Kalkulace a Porovnání'!W730</f>
        <v>0</v>
      </c>
      <c r="X730" s="49">
        <f>'Kalkulace a Porovnání'!X730</f>
        <v>0</v>
      </c>
      <c r="Y730" s="49">
        <f>'Kalkulace a Porovnání'!Y730</f>
        <v>0</v>
      </c>
      <c r="Z730" s="49">
        <f>'Kalkulace a Porovnání'!Z730</f>
        <v>0</v>
      </c>
      <c r="AA730" s="49">
        <f>'Kalkulace a Porovnání'!AA730</f>
        <v>0</v>
      </c>
      <c r="AB730" s="32">
        <f>'Kalkulace a Porovnání'!AB730</f>
        <v>0</v>
      </c>
      <c r="AC730" s="183"/>
      <c r="AD730" s="547"/>
      <c r="AG730" s="547"/>
      <c r="AH730" s="547"/>
      <c r="AI730" s="342"/>
      <c r="AJ730" s="342"/>
      <c r="AK730" s="547"/>
      <c r="AL730" s="183"/>
    </row>
    <row r="731" spans="2:38" x14ac:dyDescent="0.25">
      <c r="B731" s="12" t="s">
        <v>37</v>
      </c>
      <c r="C731" s="13" t="s">
        <v>38</v>
      </c>
      <c r="D731" s="3" t="s">
        <v>10</v>
      </c>
      <c r="E731" s="49">
        <f>'Kalkulace a Porovnání'!E731</f>
        <v>0</v>
      </c>
      <c r="F731" s="49">
        <f>'Kalkulace a Porovnání'!F731</f>
        <v>0</v>
      </c>
      <c r="G731" s="49">
        <f>'Kalkulace a Porovnání'!G731</f>
        <v>0</v>
      </c>
      <c r="H731" s="32">
        <f>'Kalkulace a Porovnání'!H731</f>
        <v>0</v>
      </c>
      <c r="K731" s="12" t="s">
        <v>37</v>
      </c>
      <c r="L731" s="13" t="s">
        <v>38</v>
      </c>
      <c r="M731" s="3" t="s">
        <v>10</v>
      </c>
      <c r="N731" s="49">
        <f>'Kalkulace a Porovnání'!N731</f>
        <v>0</v>
      </c>
      <c r="O731" s="49">
        <f>'Kalkulace a Porovnání'!O731</f>
        <v>0</v>
      </c>
      <c r="P731" s="49">
        <f>'Kalkulace a Porovnání'!P731</f>
        <v>0</v>
      </c>
      <c r="Q731" s="32">
        <f>'Kalkulace a Porovnání'!Q731</f>
        <v>0</v>
      </c>
      <c r="T731" s="12" t="s">
        <v>37</v>
      </c>
      <c r="U731" s="13" t="s">
        <v>38</v>
      </c>
      <c r="V731" s="3" t="s">
        <v>10</v>
      </c>
      <c r="W731" s="49">
        <f>'Kalkulace a Porovnání'!W731</f>
        <v>0</v>
      </c>
      <c r="X731" s="49">
        <f>'Kalkulace a Porovnání'!X731</f>
        <v>0</v>
      </c>
      <c r="Y731" s="49">
        <f>'Kalkulace a Porovnání'!Y731</f>
        <v>0</v>
      </c>
      <c r="Z731" s="49">
        <f>'Kalkulace a Porovnání'!Z731</f>
        <v>0</v>
      </c>
      <c r="AA731" s="49">
        <f>'Kalkulace a Porovnání'!AA731</f>
        <v>0</v>
      </c>
      <c r="AB731" s="32">
        <f>'Kalkulace a Porovnání'!AB731</f>
        <v>0</v>
      </c>
      <c r="AC731" s="183"/>
      <c r="AD731" s="547"/>
      <c r="AG731" s="342"/>
      <c r="AH731" s="342"/>
      <c r="AI731" s="342"/>
      <c r="AJ731" s="342"/>
      <c r="AK731" s="547"/>
      <c r="AL731" s="183"/>
    </row>
    <row r="732" spans="2:38" x14ac:dyDescent="0.25">
      <c r="B732" s="12" t="s">
        <v>39</v>
      </c>
      <c r="C732" s="21" t="s">
        <v>40</v>
      </c>
      <c r="D732" s="3" t="s">
        <v>10</v>
      </c>
      <c r="E732" s="49">
        <f>'Kalkulace a Porovnání'!E732</f>
        <v>0</v>
      </c>
      <c r="F732" s="49">
        <f>'Kalkulace a Porovnání'!F732</f>
        <v>0</v>
      </c>
      <c r="G732" s="49">
        <f>'Kalkulace a Porovnání'!G732</f>
        <v>0</v>
      </c>
      <c r="H732" s="32">
        <f>'Kalkulace a Porovnání'!H732</f>
        <v>0</v>
      </c>
      <c r="K732" s="12" t="s">
        <v>39</v>
      </c>
      <c r="L732" s="21" t="s">
        <v>40</v>
      </c>
      <c r="M732" s="3" t="s">
        <v>10</v>
      </c>
      <c r="N732" s="49">
        <f>'Kalkulace a Porovnání'!N732</f>
        <v>0</v>
      </c>
      <c r="O732" s="49">
        <f>'Kalkulace a Porovnání'!O732</f>
        <v>0</v>
      </c>
      <c r="P732" s="49">
        <f>'Kalkulace a Porovnání'!P732</f>
        <v>0</v>
      </c>
      <c r="Q732" s="32">
        <f>'Kalkulace a Porovnání'!Q732</f>
        <v>0</v>
      </c>
      <c r="T732" s="12" t="s">
        <v>39</v>
      </c>
      <c r="U732" s="21" t="s">
        <v>40</v>
      </c>
      <c r="V732" s="3" t="s">
        <v>10</v>
      </c>
      <c r="W732" s="49">
        <f>'Kalkulace a Porovnání'!W732</f>
        <v>0</v>
      </c>
      <c r="X732" s="49">
        <f>'Kalkulace a Porovnání'!X732</f>
        <v>0</v>
      </c>
      <c r="Y732" s="49">
        <f>'Kalkulace a Porovnání'!Y732</f>
        <v>0</v>
      </c>
      <c r="Z732" s="49">
        <f>'Kalkulace a Porovnání'!Z732</f>
        <v>0</v>
      </c>
      <c r="AA732" s="49">
        <f>'Kalkulace a Porovnání'!AA732</f>
        <v>0</v>
      </c>
      <c r="AB732" s="32">
        <f>'Kalkulace a Porovnání'!AB732</f>
        <v>0</v>
      </c>
      <c r="AC732" s="183"/>
      <c r="AD732" s="547"/>
      <c r="AG732" s="342"/>
      <c r="AH732" s="342"/>
      <c r="AI732" s="342"/>
      <c r="AJ732" s="342"/>
      <c r="AK732" s="547"/>
      <c r="AL732" s="183"/>
    </row>
    <row r="733" spans="2:38" x14ac:dyDescent="0.25">
      <c r="B733" s="9" t="s">
        <v>41</v>
      </c>
      <c r="C733" s="10" t="s">
        <v>42</v>
      </c>
      <c r="D733" s="11" t="s">
        <v>10</v>
      </c>
      <c r="E733" s="46">
        <f>'Kalkulace a Porovnání'!E733</f>
        <v>0</v>
      </c>
      <c r="F733" s="46">
        <f>'Kalkulace a Porovnání'!F733</f>
        <v>0</v>
      </c>
      <c r="G733" s="46">
        <f>'Kalkulace a Porovnání'!G733</f>
        <v>0</v>
      </c>
      <c r="H733" s="98">
        <f>'Kalkulace a Porovnání'!H733</f>
        <v>0</v>
      </c>
      <c r="K733" s="9" t="s">
        <v>41</v>
      </c>
      <c r="L733" s="10" t="s">
        <v>42</v>
      </c>
      <c r="M733" s="11" t="s">
        <v>10</v>
      </c>
      <c r="N733" s="46">
        <f>'Kalkulace a Porovnání'!N733</f>
        <v>0</v>
      </c>
      <c r="O733" s="46">
        <f>'Kalkulace a Porovnání'!O733</f>
        <v>0</v>
      </c>
      <c r="P733" s="46">
        <f>'Kalkulace a Porovnání'!P733</f>
        <v>0</v>
      </c>
      <c r="Q733" s="98">
        <f>'Kalkulace a Porovnání'!Q733</f>
        <v>0</v>
      </c>
      <c r="T733" s="9" t="s">
        <v>41</v>
      </c>
      <c r="U733" s="10" t="s">
        <v>42</v>
      </c>
      <c r="V733" s="11" t="s">
        <v>10</v>
      </c>
      <c r="W733" s="46">
        <f>'Kalkulace a Porovnání'!W733</f>
        <v>0</v>
      </c>
      <c r="X733" s="46">
        <f>'Kalkulace a Porovnání'!X733</f>
        <v>0</v>
      </c>
      <c r="Y733" s="46">
        <f>'Kalkulace a Porovnání'!Y733</f>
        <v>0</v>
      </c>
      <c r="Z733" s="46">
        <f>'Kalkulace a Porovnání'!Z733</f>
        <v>0</v>
      </c>
      <c r="AA733" s="46">
        <f>'Kalkulace a Porovnání'!AA733</f>
        <v>0</v>
      </c>
      <c r="AB733" s="98">
        <f>'Kalkulace a Porovnání'!AB733</f>
        <v>0</v>
      </c>
      <c r="AC733" s="183"/>
      <c r="AD733" s="547"/>
      <c r="AG733" s="548"/>
      <c r="AH733" s="548"/>
      <c r="AI733" s="342"/>
      <c r="AJ733" s="342"/>
      <c r="AK733" s="547"/>
      <c r="AL733" s="183"/>
    </row>
    <row r="734" spans="2:38" x14ac:dyDescent="0.25">
      <c r="B734" s="12" t="s">
        <v>43</v>
      </c>
      <c r="C734" s="13" t="s">
        <v>44</v>
      </c>
      <c r="D734" s="3" t="s">
        <v>10</v>
      </c>
      <c r="E734" s="49">
        <f>'Kalkulace a Porovnání'!E734</f>
        <v>0</v>
      </c>
      <c r="F734" s="49">
        <f>'Kalkulace a Porovnání'!F734</f>
        <v>0</v>
      </c>
      <c r="G734" s="49">
        <f>'Kalkulace a Porovnání'!G734</f>
        <v>0</v>
      </c>
      <c r="H734" s="32">
        <f>'Kalkulace a Porovnání'!H734</f>
        <v>0</v>
      </c>
      <c r="K734" s="12" t="s">
        <v>43</v>
      </c>
      <c r="L734" s="13" t="s">
        <v>44</v>
      </c>
      <c r="M734" s="3" t="s">
        <v>10</v>
      </c>
      <c r="N734" s="49">
        <f>'Kalkulace a Porovnání'!N734</f>
        <v>0</v>
      </c>
      <c r="O734" s="49">
        <f>'Kalkulace a Porovnání'!O734</f>
        <v>0</v>
      </c>
      <c r="P734" s="49">
        <f>'Kalkulace a Porovnání'!P734</f>
        <v>0</v>
      </c>
      <c r="Q734" s="32">
        <f>'Kalkulace a Porovnání'!Q734</f>
        <v>0</v>
      </c>
      <c r="T734" s="12" t="s">
        <v>43</v>
      </c>
      <c r="U734" s="13" t="s">
        <v>44</v>
      </c>
      <c r="V734" s="3" t="s">
        <v>10</v>
      </c>
      <c r="W734" s="49">
        <f>'Kalkulace a Porovnání'!W734</f>
        <v>0</v>
      </c>
      <c r="X734" s="49">
        <f>'Kalkulace a Porovnání'!X734</f>
        <v>0</v>
      </c>
      <c r="Y734" s="49">
        <f>'Kalkulace a Porovnání'!Y734</f>
        <v>0</v>
      </c>
      <c r="Z734" s="49">
        <f>'Kalkulace a Porovnání'!Z734</f>
        <v>0</v>
      </c>
      <c r="AA734" s="49">
        <f>'Kalkulace a Porovnání'!AA734</f>
        <v>0</v>
      </c>
      <c r="AB734" s="32">
        <f>'Kalkulace a Porovnání'!AB734</f>
        <v>0</v>
      </c>
      <c r="AC734" s="183"/>
      <c r="AD734" s="547"/>
      <c r="AG734" s="972"/>
      <c r="AH734" s="972"/>
      <c r="AI734" s="342"/>
      <c r="AJ734" s="342"/>
      <c r="AK734" s="547"/>
      <c r="AL734" s="183"/>
    </row>
    <row r="735" spans="2:38" x14ac:dyDescent="0.25">
      <c r="B735" s="12" t="s">
        <v>45</v>
      </c>
      <c r="C735" s="12" t="s">
        <v>46</v>
      </c>
      <c r="D735" s="3" t="s">
        <v>10</v>
      </c>
      <c r="E735" s="49">
        <f>'Kalkulace a Porovnání'!E735</f>
        <v>0</v>
      </c>
      <c r="F735" s="49">
        <f>'Kalkulace a Porovnání'!F735</f>
        <v>0</v>
      </c>
      <c r="G735" s="49">
        <f>'Kalkulace a Porovnání'!G735</f>
        <v>0</v>
      </c>
      <c r="H735" s="32">
        <f>'Kalkulace a Porovnání'!H735</f>
        <v>0</v>
      </c>
      <c r="K735" s="12" t="s">
        <v>45</v>
      </c>
      <c r="L735" s="12" t="s">
        <v>46</v>
      </c>
      <c r="M735" s="3" t="s">
        <v>10</v>
      </c>
      <c r="N735" s="49">
        <f>'Kalkulace a Porovnání'!N735</f>
        <v>0</v>
      </c>
      <c r="O735" s="49">
        <f>'Kalkulace a Porovnání'!O735</f>
        <v>0</v>
      </c>
      <c r="P735" s="49">
        <f>'Kalkulace a Porovnání'!P735</f>
        <v>0</v>
      </c>
      <c r="Q735" s="32">
        <f>'Kalkulace a Porovnání'!Q735</f>
        <v>0</v>
      </c>
      <c r="T735" s="12" t="s">
        <v>45</v>
      </c>
      <c r="U735" s="12" t="s">
        <v>46</v>
      </c>
      <c r="V735" s="3" t="s">
        <v>10</v>
      </c>
      <c r="W735" s="49">
        <f>'Kalkulace a Porovnání'!W735</f>
        <v>0</v>
      </c>
      <c r="X735" s="49">
        <f>'Kalkulace a Porovnání'!X735</f>
        <v>0</v>
      </c>
      <c r="Y735" s="49">
        <f>'Kalkulace a Porovnání'!Y735</f>
        <v>0</v>
      </c>
      <c r="Z735" s="49">
        <f>'Kalkulace a Porovnání'!Z735</f>
        <v>0</v>
      </c>
      <c r="AA735" s="49">
        <f>'Kalkulace a Porovnání'!AA735</f>
        <v>0</v>
      </c>
      <c r="AB735" s="32">
        <f>'Kalkulace a Porovnání'!AB735</f>
        <v>0</v>
      </c>
      <c r="AC735" s="183"/>
      <c r="AD735" s="547"/>
      <c r="AG735" s="972"/>
      <c r="AH735" s="972"/>
      <c r="AI735" s="342"/>
      <c r="AJ735" s="342"/>
      <c r="AK735" s="547"/>
      <c r="AL735" s="183"/>
    </row>
    <row r="736" spans="2:38" x14ac:dyDescent="0.25">
      <c r="B736" s="12" t="s">
        <v>47</v>
      </c>
      <c r="C736" s="13" t="s">
        <v>48</v>
      </c>
      <c r="D736" s="3" t="s">
        <v>10</v>
      </c>
      <c r="E736" s="49">
        <f>'Kalkulace a Porovnání'!E736</f>
        <v>0</v>
      </c>
      <c r="F736" s="49">
        <f>'Kalkulace a Porovnání'!F736</f>
        <v>0</v>
      </c>
      <c r="G736" s="49">
        <f>'Kalkulace a Porovnání'!G736</f>
        <v>0</v>
      </c>
      <c r="H736" s="32">
        <f>'Kalkulace a Porovnání'!H736</f>
        <v>0</v>
      </c>
      <c r="K736" s="12" t="s">
        <v>47</v>
      </c>
      <c r="L736" s="13" t="s">
        <v>48</v>
      </c>
      <c r="M736" s="3" t="s">
        <v>10</v>
      </c>
      <c r="N736" s="49">
        <f>'Kalkulace a Porovnání'!N736</f>
        <v>0</v>
      </c>
      <c r="O736" s="49">
        <f>'Kalkulace a Porovnání'!O736</f>
        <v>0</v>
      </c>
      <c r="P736" s="49">
        <f>'Kalkulace a Porovnání'!P736</f>
        <v>0</v>
      </c>
      <c r="Q736" s="32">
        <f>'Kalkulace a Porovnání'!Q736</f>
        <v>0</v>
      </c>
      <c r="T736" s="12" t="s">
        <v>47</v>
      </c>
      <c r="U736" s="13" t="s">
        <v>48</v>
      </c>
      <c r="V736" s="3" t="s">
        <v>10</v>
      </c>
      <c r="W736" s="49">
        <f>'Kalkulace a Porovnání'!W736</f>
        <v>0</v>
      </c>
      <c r="X736" s="49">
        <f>'Kalkulace a Porovnání'!X736</f>
        <v>0</v>
      </c>
      <c r="Y736" s="49">
        <f>'Kalkulace a Porovnání'!Y736</f>
        <v>0</v>
      </c>
      <c r="Z736" s="49">
        <f>'Kalkulace a Porovnání'!Z736</f>
        <v>0</v>
      </c>
      <c r="AA736" s="49">
        <f>'Kalkulace a Porovnání'!AA736</f>
        <v>0</v>
      </c>
      <c r="AB736" s="32">
        <f>'Kalkulace a Porovnání'!AB736</f>
        <v>0</v>
      </c>
      <c r="AC736" s="183"/>
      <c r="AD736" s="547"/>
      <c r="AG736" s="545"/>
      <c r="AH736" s="545"/>
      <c r="AI736" s="342"/>
      <c r="AJ736" s="342"/>
      <c r="AK736" s="547"/>
      <c r="AL736" s="183"/>
    </row>
    <row r="737" spans="2:38" x14ac:dyDescent="0.25">
      <c r="B737" s="9" t="s">
        <v>49</v>
      </c>
      <c r="C737" s="10" t="s">
        <v>50</v>
      </c>
      <c r="D737" s="11" t="s">
        <v>10</v>
      </c>
      <c r="E737" s="49">
        <f>'Kalkulace a Porovnání'!E737</f>
        <v>0</v>
      </c>
      <c r="F737" s="49">
        <f>'Kalkulace a Porovnání'!F737</f>
        <v>0</v>
      </c>
      <c r="G737" s="49">
        <f>'Kalkulace a Porovnání'!G737</f>
        <v>0</v>
      </c>
      <c r="H737" s="32">
        <f>'Kalkulace a Porovnání'!H737</f>
        <v>0</v>
      </c>
      <c r="K737" s="9" t="s">
        <v>49</v>
      </c>
      <c r="L737" s="10" t="s">
        <v>50</v>
      </c>
      <c r="M737" s="11" t="s">
        <v>10</v>
      </c>
      <c r="N737" s="49">
        <f>'Kalkulace a Porovnání'!N737</f>
        <v>0</v>
      </c>
      <c r="O737" s="49">
        <f>'Kalkulace a Porovnání'!O737</f>
        <v>0</v>
      </c>
      <c r="P737" s="49">
        <f>'Kalkulace a Porovnání'!P737</f>
        <v>0</v>
      </c>
      <c r="Q737" s="32">
        <f>'Kalkulace a Porovnání'!Q737</f>
        <v>0</v>
      </c>
      <c r="T737" s="9" t="s">
        <v>49</v>
      </c>
      <c r="U737" s="10" t="s">
        <v>50</v>
      </c>
      <c r="V737" s="11" t="s">
        <v>10</v>
      </c>
      <c r="W737" s="49">
        <f>'Kalkulace a Porovnání'!W737</f>
        <v>0</v>
      </c>
      <c r="X737" s="49">
        <f>'Kalkulace a Porovnání'!X737</f>
        <v>0</v>
      </c>
      <c r="Y737" s="49">
        <f>'Kalkulace a Porovnání'!Y737</f>
        <v>0</v>
      </c>
      <c r="Z737" s="49">
        <f>'Kalkulace a Porovnání'!Z737</f>
        <v>0</v>
      </c>
      <c r="AA737" s="49">
        <f>'Kalkulace a Porovnání'!AA737</f>
        <v>0</v>
      </c>
      <c r="AB737" s="32">
        <f>'Kalkulace a Porovnání'!AB737</f>
        <v>0</v>
      </c>
      <c r="AC737" s="183"/>
      <c r="AD737" s="547"/>
      <c r="AG737" s="184"/>
      <c r="AH737" s="184"/>
      <c r="AI737" s="342"/>
      <c r="AJ737" s="342"/>
      <c r="AK737" s="547"/>
      <c r="AL737" s="183"/>
    </row>
    <row r="738" spans="2:38" x14ac:dyDescent="0.25">
      <c r="B738" s="9" t="s">
        <v>51</v>
      </c>
      <c r="C738" s="10" t="s">
        <v>52</v>
      </c>
      <c r="D738" s="11" t="s">
        <v>10</v>
      </c>
      <c r="E738" s="49">
        <f>'Kalkulace a Porovnání'!E738</f>
        <v>0</v>
      </c>
      <c r="F738" s="49">
        <f>'Kalkulace a Porovnání'!F738</f>
        <v>0</v>
      </c>
      <c r="G738" s="49">
        <f>'Kalkulace a Porovnání'!G738</f>
        <v>0</v>
      </c>
      <c r="H738" s="32">
        <f>'Kalkulace a Porovnání'!H738</f>
        <v>0</v>
      </c>
      <c r="K738" s="9" t="s">
        <v>51</v>
      </c>
      <c r="L738" s="10" t="s">
        <v>52</v>
      </c>
      <c r="M738" s="11" t="s">
        <v>10</v>
      </c>
      <c r="N738" s="49">
        <f>'Kalkulace a Porovnání'!N738</f>
        <v>0</v>
      </c>
      <c r="O738" s="49">
        <f>'Kalkulace a Porovnání'!O738</f>
        <v>0</v>
      </c>
      <c r="P738" s="49">
        <f>'Kalkulace a Porovnání'!P738</f>
        <v>0</v>
      </c>
      <c r="Q738" s="32">
        <f>'Kalkulace a Porovnání'!Q738</f>
        <v>0</v>
      </c>
      <c r="T738" s="9" t="s">
        <v>51</v>
      </c>
      <c r="U738" s="10" t="s">
        <v>52</v>
      </c>
      <c r="V738" s="11" t="s">
        <v>10</v>
      </c>
      <c r="W738" s="49">
        <f>'Kalkulace a Porovnání'!W738</f>
        <v>0</v>
      </c>
      <c r="X738" s="49">
        <f>'Kalkulace a Porovnání'!X738</f>
        <v>0</v>
      </c>
      <c r="Y738" s="49">
        <f>'Kalkulace a Porovnání'!Y738</f>
        <v>0</v>
      </c>
      <c r="Z738" s="49">
        <f>'Kalkulace a Porovnání'!Z738</f>
        <v>0</v>
      </c>
      <c r="AA738" s="49">
        <f>'Kalkulace a Porovnání'!AA738</f>
        <v>0</v>
      </c>
      <c r="AB738" s="32">
        <f>'Kalkulace a Porovnání'!AB738</f>
        <v>0</v>
      </c>
      <c r="AC738" s="183"/>
      <c r="AD738" s="547"/>
      <c r="AG738" s="184"/>
      <c r="AH738" s="184"/>
      <c r="AI738" s="342"/>
      <c r="AJ738" s="342"/>
      <c r="AK738" s="547"/>
      <c r="AL738" s="183"/>
    </row>
    <row r="739" spans="2:38" x14ac:dyDescent="0.25">
      <c r="B739" s="9" t="s">
        <v>53</v>
      </c>
      <c r="C739" s="10" t="s">
        <v>54</v>
      </c>
      <c r="D739" s="11" t="s">
        <v>10</v>
      </c>
      <c r="E739" s="49">
        <f>'Kalkulace a Porovnání'!E739</f>
        <v>0</v>
      </c>
      <c r="F739" s="49">
        <f>'Kalkulace a Porovnání'!F739</f>
        <v>0</v>
      </c>
      <c r="G739" s="49">
        <f>'Kalkulace a Porovnání'!G739</f>
        <v>0</v>
      </c>
      <c r="H739" s="32">
        <f>'Kalkulace a Porovnání'!H739</f>
        <v>0</v>
      </c>
      <c r="K739" s="9" t="s">
        <v>53</v>
      </c>
      <c r="L739" s="10" t="s">
        <v>54</v>
      </c>
      <c r="M739" s="11" t="s">
        <v>10</v>
      </c>
      <c r="N739" s="49">
        <f>'Kalkulace a Porovnání'!N739</f>
        <v>0</v>
      </c>
      <c r="O739" s="49">
        <f>'Kalkulace a Porovnání'!O739</f>
        <v>0</v>
      </c>
      <c r="P739" s="49">
        <f>'Kalkulace a Porovnání'!P739</f>
        <v>0</v>
      </c>
      <c r="Q739" s="32">
        <f>'Kalkulace a Porovnání'!Q739</f>
        <v>0</v>
      </c>
      <c r="T739" s="9" t="s">
        <v>53</v>
      </c>
      <c r="U739" s="10" t="s">
        <v>54</v>
      </c>
      <c r="V739" s="11" t="s">
        <v>10</v>
      </c>
      <c r="W739" s="49">
        <f>'Kalkulace a Porovnání'!W739</f>
        <v>0</v>
      </c>
      <c r="X739" s="49">
        <f>'Kalkulace a Porovnání'!X739</f>
        <v>0</v>
      </c>
      <c r="Y739" s="49">
        <f>'Kalkulace a Porovnání'!Y739</f>
        <v>0</v>
      </c>
      <c r="Z739" s="49">
        <f>'Kalkulace a Porovnání'!Z739</f>
        <v>0</v>
      </c>
      <c r="AA739" s="49">
        <f>'Kalkulace a Porovnání'!AA739</f>
        <v>0</v>
      </c>
      <c r="AB739" s="32">
        <f>'Kalkulace a Porovnání'!AB739</f>
        <v>0</v>
      </c>
      <c r="AC739" s="183"/>
      <c r="AD739" s="547"/>
      <c r="AG739" s="184"/>
      <c r="AH739" s="184"/>
      <c r="AI739" s="342"/>
      <c r="AJ739" s="342"/>
      <c r="AK739" s="547"/>
      <c r="AL739" s="183"/>
    </row>
    <row r="740" spans="2:38" x14ac:dyDescent="0.25">
      <c r="B740" s="9" t="s">
        <v>55</v>
      </c>
      <c r="C740" s="10" t="s">
        <v>56</v>
      </c>
      <c r="D740" s="11" t="s">
        <v>10</v>
      </c>
      <c r="E740" s="49">
        <f>'Kalkulace a Porovnání'!E740</f>
        <v>0</v>
      </c>
      <c r="F740" s="49">
        <f>'Kalkulace a Porovnání'!F740</f>
        <v>0</v>
      </c>
      <c r="G740" s="49">
        <f>'Kalkulace a Porovnání'!G740</f>
        <v>0</v>
      </c>
      <c r="H740" s="32">
        <f>'Kalkulace a Porovnání'!H740</f>
        <v>0</v>
      </c>
      <c r="K740" s="9" t="s">
        <v>55</v>
      </c>
      <c r="L740" s="10" t="s">
        <v>56</v>
      </c>
      <c r="M740" s="11" t="s">
        <v>10</v>
      </c>
      <c r="N740" s="49">
        <f>'Kalkulace a Porovnání'!N740</f>
        <v>0</v>
      </c>
      <c r="O740" s="49">
        <f>'Kalkulace a Porovnání'!O740</f>
        <v>0</v>
      </c>
      <c r="P740" s="49">
        <f>'Kalkulace a Porovnání'!P740</f>
        <v>0</v>
      </c>
      <c r="Q740" s="32">
        <f>'Kalkulace a Porovnání'!Q740</f>
        <v>0</v>
      </c>
      <c r="T740" s="9" t="s">
        <v>55</v>
      </c>
      <c r="U740" s="10" t="s">
        <v>56</v>
      </c>
      <c r="V740" s="11" t="s">
        <v>10</v>
      </c>
      <c r="W740" s="49">
        <f>'Kalkulace a Porovnání'!W740</f>
        <v>0</v>
      </c>
      <c r="X740" s="49">
        <f>'Kalkulace a Porovnání'!X740</f>
        <v>0</v>
      </c>
      <c r="Y740" s="49">
        <f>'Kalkulace a Porovnání'!Y740</f>
        <v>0</v>
      </c>
      <c r="Z740" s="49">
        <f>'Kalkulace a Porovnání'!Z740</f>
        <v>0</v>
      </c>
      <c r="AA740" s="49">
        <f>'Kalkulace a Porovnání'!AA740</f>
        <v>0</v>
      </c>
      <c r="AB740" s="32">
        <f>'Kalkulace a Porovnání'!AB740</f>
        <v>0</v>
      </c>
      <c r="AC740" s="183"/>
      <c r="AD740" s="547"/>
      <c r="AG740" s="184"/>
      <c r="AH740" s="184"/>
      <c r="AI740" s="342"/>
      <c r="AJ740" s="342"/>
      <c r="AK740" s="547"/>
      <c r="AL740" s="183"/>
    </row>
    <row r="741" spans="2:38" x14ac:dyDescent="0.25">
      <c r="B741" s="9" t="s">
        <v>57</v>
      </c>
      <c r="C741" s="10" t="s">
        <v>58</v>
      </c>
      <c r="D741" s="11" t="s">
        <v>10</v>
      </c>
      <c r="E741" s="46">
        <f>'Kalkulace a Porovnání'!E741</f>
        <v>0</v>
      </c>
      <c r="F741" s="46">
        <f>'Kalkulace a Porovnání'!F741</f>
        <v>0</v>
      </c>
      <c r="G741" s="46">
        <f>'Kalkulace a Porovnání'!G741</f>
        <v>0</v>
      </c>
      <c r="H741" s="98">
        <f>'Kalkulace a Porovnání'!H741</f>
        <v>0</v>
      </c>
      <c r="K741" s="9" t="s">
        <v>57</v>
      </c>
      <c r="L741" s="10" t="s">
        <v>58</v>
      </c>
      <c r="M741" s="11" t="s">
        <v>10</v>
      </c>
      <c r="N741" s="46">
        <f>'Kalkulace a Porovnání'!N741</f>
        <v>0</v>
      </c>
      <c r="O741" s="46">
        <f>'Kalkulace a Porovnání'!O741</f>
        <v>0</v>
      </c>
      <c r="P741" s="46">
        <f>'Kalkulace a Porovnání'!P741</f>
        <v>0</v>
      </c>
      <c r="Q741" s="98">
        <f>'Kalkulace a Porovnání'!Q741</f>
        <v>0</v>
      </c>
      <c r="T741" s="9" t="s">
        <v>57</v>
      </c>
      <c r="U741" s="10" t="s">
        <v>58</v>
      </c>
      <c r="V741" s="11" t="s">
        <v>10</v>
      </c>
      <c r="W741" s="46">
        <f>'Kalkulace a Porovnání'!W741</f>
        <v>0</v>
      </c>
      <c r="X741" s="46">
        <f>'Kalkulace a Porovnání'!X741</f>
        <v>0</v>
      </c>
      <c r="Y741" s="46">
        <f>'Kalkulace a Porovnání'!Y741</f>
        <v>0</v>
      </c>
      <c r="Z741" s="46">
        <f>'Kalkulace a Porovnání'!Z741</f>
        <v>0</v>
      </c>
      <c r="AA741" s="46">
        <f>'Kalkulace a Porovnání'!AA741</f>
        <v>0</v>
      </c>
      <c r="AB741" s="98">
        <f>'Kalkulace a Porovnání'!AB741</f>
        <v>0</v>
      </c>
      <c r="AC741" s="183"/>
      <c r="AD741" s="547"/>
      <c r="AG741" s="184"/>
      <c r="AH741" s="184"/>
      <c r="AI741" s="342"/>
      <c r="AJ741" s="342"/>
      <c r="AK741" s="547"/>
      <c r="AL741" s="183"/>
    </row>
    <row r="742" spans="2:38" x14ac:dyDescent="0.25">
      <c r="B742" s="12" t="s">
        <v>59</v>
      </c>
      <c r="C742" s="13" t="s">
        <v>112</v>
      </c>
      <c r="D742" s="3" t="s">
        <v>10</v>
      </c>
      <c r="E742" s="437">
        <f>'Kalkulace a Porovnání'!E742</f>
        <v>0</v>
      </c>
      <c r="F742" s="437">
        <f>'Kalkulace a Porovnání'!F742</f>
        <v>0</v>
      </c>
      <c r="G742" s="437">
        <f>'Kalkulace a Porovnání'!G742</f>
        <v>0</v>
      </c>
      <c r="H742" s="438">
        <f>'Kalkulace a Porovnání'!H742</f>
        <v>0</v>
      </c>
      <c r="K742" s="12" t="s">
        <v>59</v>
      </c>
      <c r="L742" s="13" t="s">
        <v>112</v>
      </c>
      <c r="M742" s="3" t="s">
        <v>10</v>
      </c>
      <c r="N742" s="437">
        <f>'Kalkulace a Porovnání'!N742</f>
        <v>0</v>
      </c>
      <c r="O742" s="437">
        <f>'Kalkulace a Porovnání'!O742</f>
        <v>0</v>
      </c>
      <c r="P742" s="437">
        <f>'Kalkulace a Porovnání'!P742</f>
        <v>0</v>
      </c>
      <c r="Q742" s="438">
        <f>'Kalkulace a Porovnání'!Q742</f>
        <v>0</v>
      </c>
      <c r="T742" s="12" t="s">
        <v>59</v>
      </c>
      <c r="U742" s="13" t="s">
        <v>112</v>
      </c>
      <c r="V742" s="3" t="s">
        <v>10</v>
      </c>
      <c r="W742" s="437">
        <f>'Kalkulace a Porovnání'!W742</f>
        <v>0</v>
      </c>
      <c r="X742" s="437">
        <f>'Kalkulace a Porovnání'!X742</f>
        <v>0</v>
      </c>
      <c r="Y742" s="437">
        <f>'Kalkulace a Porovnání'!Y742</f>
        <v>0</v>
      </c>
      <c r="Z742" s="437">
        <f>'Kalkulace a Porovnání'!Z742</f>
        <v>0</v>
      </c>
      <c r="AA742" s="437">
        <f>'Kalkulace a Porovnání'!AA742</f>
        <v>0</v>
      </c>
      <c r="AB742" s="438">
        <f>'Kalkulace a Porovnání'!AB742</f>
        <v>0</v>
      </c>
      <c r="AC742" s="183"/>
      <c r="AD742" s="547"/>
      <c r="AG742" s="973"/>
      <c r="AH742" s="973"/>
      <c r="AI742" s="342"/>
      <c r="AJ742" s="342"/>
      <c r="AK742" s="547"/>
      <c r="AL742" s="183"/>
    </row>
    <row r="743" spans="2:38" x14ac:dyDescent="0.25">
      <c r="B743" s="12" t="s">
        <v>60</v>
      </c>
      <c r="C743" s="13" t="s">
        <v>113</v>
      </c>
      <c r="D743" s="3" t="s">
        <v>10</v>
      </c>
      <c r="E743" s="437">
        <f>'Kalkulace a Porovnání'!E743</f>
        <v>0</v>
      </c>
      <c r="F743" s="437">
        <f>'Kalkulace a Porovnání'!F743</f>
        <v>0</v>
      </c>
      <c r="G743" s="437">
        <f>'Kalkulace a Porovnání'!G743</f>
        <v>0</v>
      </c>
      <c r="H743" s="438">
        <f>'Kalkulace a Porovnání'!H743</f>
        <v>0</v>
      </c>
      <c r="K743" s="12" t="s">
        <v>60</v>
      </c>
      <c r="L743" s="13" t="s">
        <v>113</v>
      </c>
      <c r="M743" s="3" t="s">
        <v>10</v>
      </c>
      <c r="N743" s="437">
        <f>'Kalkulace a Porovnání'!N743</f>
        <v>0</v>
      </c>
      <c r="O743" s="437">
        <f>'Kalkulace a Porovnání'!O743</f>
        <v>0</v>
      </c>
      <c r="P743" s="437">
        <f>'Kalkulace a Porovnání'!P743</f>
        <v>0</v>
      </c>
      <c r="Q743" s="438">
        <f>'Kalkulace a Porovnání'!Q743</f>
        <v>0</v>
      </c>
      <c r="T743" s="12" t="s">
        <v>60</v>
      </c>
      <c r="U743" s="13" t="s">
        <v>113</v>
      </c>
      <c r="V743" s="3" t="s">
        <v>10</v>
      </c>
      <c r="W743" s="437">
        <f>'Kalkulace a Porovnání'!W743</f>
        <v>0</v>
      </c>
      <c r="X743" s="437">
        <f>'Kalkulace a Porovnání'!X743</f>
        <v>0</v>
      </c>
      <c r="Y743" s="437">
        <f>'Kalkulace a Porovnání'!Y743</f>
        <v>0</v>
      </c>
      <c r="Z743" s="437">
        <f>'Kalkulace a Porovnání'!Z743</f>
        <v>0</v>
      </c>
      <c r="AA743" s="437">
        <f>'Kalkulace a Porovnání'!AA743</f>
        <v>0</v>
      </c>
      <c r="AB743" s="438">
        <f>'Kalkulace a Porovnání'!AB743</f>
        <v>0</v>
      </c>
      <c r="AC743" s="183"/>
      <c r="AD743" s="547"/>
      <c r="AG743" s="973"/>
      <c r="AH743" s="973"/>
      <c r="AI743" s="342"/>
      <c r="AJ743" s="342"/>
      <c r="AK743" s="547"/>
      <c r="AL743" s="183"/>
    </row>
    <row r="744" spans="2:38" x14ac:dyDescent="0.25">
      <c r="B744" s="12" t="s">
        <v>61</v>
      </c>
      <c r="C744" s="13" t="s">
        <v>62</v>
      </c>
      <c r="D744" s="3" t="s">
        <v>63</v>
      </c>
      <c r="E744" s="439">
        <f>'Kalkulace a Porovnání'!E744</f>
        <v>0</v>
      </c>
      <c r="F744" s="439">
        <f>'Kalkulace a Porovnání'!F744</f>
        <v>0</v>
      </c>
      <c r="G744" s="439">
        <f>'Kalkulace a Porovnání'!G744</f>
        <v>0</v>
      </c>
      <c r="H744" s="440">
        <f>'Kalkulace a Porovnání'!H744</f>
        <v>0</v>
      </c>
      <c r="K744" s="12" t="s">
        <v>61</v>
      </c>
      <c r="L744" s="13" t="s">
        <v>62</v>
      </c>
      <c r="M744" s="3" t="s">
        <v>63</v>
      </c>
      <c r="N744" s="439">
        <f>'Kalkulace a Porovnání'!N744</f>
        <v>0</v>
      </c>
      <c r="O744" s="439">
        <f>'Kalkulace a Porovnání'!O744</f>
        <v>0</v>
      </c>
      <c r="P744" s="439">
        <f>'Kalkulace a Porovnání'!P744</f>
        <v>0</v>
      </c>
      <c r="Q744" s="440">
        <f>'Kalkulace a Porovnání'!Q744</f>
        <v>0</v>
      </c>
      <c r="T744" s="12" t="s">
        <v>61</v>
      </c>
      <c r="U744" s="13" t="s">
        <v>62</v>
      </c>
      <c r="V744" s="3" t="s">
        <v>63</v>
      </c>
      <c r="W744" s="439">
        <f>'Kalkulace a Porovnání'!W744</f>
        <v>0</v>
      </c>
      <c r="X744" s="439">
        <f>'Kalkulace a Porovnání'!X744</f>
        <v>0</v>
      </c>
      <c r="Y744" s="439">
        <f>'Kalkulace a Porovnání'!Y744</f>
        <v>0</v>
      </c>
      <c r="Z744" s="439">
        <f>'Kalkulace a Porovnání'!Z744</f>
        <v>0</v>
      </c>
      <c r="AA744" s="439">
        <f>'Kalkulace a Porovnání'!AA744</f>
        <v>0</v>
      </c>
      <c r="AB744" s="440">
        <f>'Kalkulace a Porovnání'!AB744</f>
        <v>0</v>
      </c>
      <c r="AC744" s="183"/>
      <c r="AD744" s="547"/>
      <c r="AG744" s="972"/>
      <c r="AH744" s="972"/>
      <c r="AI744" s="342"/>
      <c r="AJ744" s="342"/>
      <c r="AK744" s="547"/>
      <c r="AL744" s="183"/>
    </row>
    <row r="745" spans="2:38" x14ac:dyDescent="0.25">
      <c r="B745" s="12" t="s">
        <v>64</v>
      </c>
      <c r="C745" s="13" t="s">
        <v>65</v>
      </c>
      <c r="D745" s="3" t="s">
        <v>66</v>
      </c>
      <c r="E745" s="49">
        <f>'Kalkulace a Porovnání'!E745</f>
        <v>0</v>
      </c>
      <c r="F745" s="49">
        <f>'Kalkulace a Porovnání'!F745</f>
        <v>0</v>
      </c>
      <c r="G745" s="49">
        <f>'Kalkulace a Porovnání'!G745</f>
        <v>0</v>
      </c>
      <c r="H745" s="32">
        <f>'Kalkulace a Porovnání'!H745</f>
        <v>0</v>
      </c>
      <c r="K745" s="12" t="s">
        <v>64</v>
      </c>
      <c r="L745" s="13" t="s">
        <v>65</v>
      </c>
      <c r="M745" s="3" t="s">
        <v>66</v>
      </c>
      <c r="N745" s="49">
        <f>'Kalkulace a Porovnání'!N745</f>
        <v>0</v>
      </c>
      <c r="O745" s="49">
        <f>'Kalkulace a Porovnání'!O745</f>
        <v>0</v>
      </c>
      <c r="P745" s="49">
        <f>'Kalkulace a Porovnání'!P745</f>
        <v>0</v>
      </c>
      <c r="Q745" s="32">
        <f>'Kalkulace a Porovnání'!Q745</f>
        <v>0</v>
      </c>
      <c r="T745" s="12" t="s">
        <v>64</v>
      </c>
      <c r="U745" s="13" t="s">
        <v>65</v>
      </c>
      <c r="V745" s="3" t="s">
        <v>66</v>
      </c>
      <c r="W745" s="49">
        <f>'Kalkulace a Porovnání'!W745</f>
        <v>0</v>
      </c>
      <c r="X745" s="49">
        <f>'Kalkulace a Porovnání'!X745</f>
        <v>0</v>
      </c>
      <c r="Y745" s="49">
        <f>'Kalkulace a Porovnání'!Y745</f>
        <v>0</v>
      </c>
      <c r="Z745" s="49">
        <f>'Kalkulace a Porovnání'!Z745</f>
        <v>0</v>
      </c>
      <c r="AA745" s="49">
        <f>'Kalkulace a Porovnání'!AA745</f>
        <v>0</v>
      </c>
      <c r="AB745" s="32">
        <f>'Kalkulace a Porovnání'!AB745</f>
        <v>0</v>
      </c>
      <c r="AC745" s="183"/>
      <c r="AD745" s="547"/>
      <c r="AG745" s="972"/>
      <c r="AH745" s="972"/>
      <c r="AI745" s="342"/>
      <c r="AJ745" s="342"/>
      <c r="AK745" s="547"/>
      <c r="AL745" s="183"/>
    </row>
    <row r="746" spans="2:38" x14ac:dyDescent="0.25">
      <c r="B746" s="12" t="s">
        <v>67</v>
      </c>
      <c r="C746" s="13" t="s">
        <v>68</v>
      </c>
      <c r="D746" s="3" t="s">
        <v>66</v>
      </c>
      <c r="E746" s="49">
        <f>'Kalkulace a Porovnání'!E746</f>
        <v>0</v>
      </c>
      <c r="F746" s="49">
        <f>'Kalkulace a Porovnání'!F746</f>
        <v>0</v>
      </c>
      <c r="G746" s="49">
        <f>'Kalkulace a Porovnání'!G746</f>
        <v>0</v>
      </c>
      <c r="H746" s="32">
        <f>'Kalkulace a Porovnání'!H746</f>
        <v>0</v>
      </c>
      <c r="K746" s="12" t="s">
        <v>67</v>
      </c>
      <c r="L746" s="13" t="s">
        <v>68</v>
      </c>
      <c r="M746" s="3" t="s">
        <v>66</v>
      </c>
      <c r="N746" s="49">
        <f>'Kalkulace a Porovnání'!N746</f>
        <v>0</v>
      </c>
      <c r="O746" s="49">
        <f>'Kalkulace a Porovnání'!O746</f>
        <v>0</v>
      </c>
      <c r="P746" s="49">
        <f>'Kalkulace a Porovnání'!P746</f>
        <v>0</v>
      </c>
      <c r="Q746" s="32">
        <f>'Kalkulace a Porovnání'!Q746</f>
        <v>0</v>
      </c>
      <c r="T746" s="12" t="s">
        <v>67</v>
      </c>
      <c r="U746" s="13" t="s">
        <v>68</v>
      </c>
      <c r="V746" s="3" t="s">
        <v>66</v>
      </c>
      <c r="W746" s="49">
        <f>'Kalkulace a Porovnání'!W746</f>
        <v>0</v>
      </c>
      <c r="X746" s="49">
        <f>'Kalkulace a Porovnání'!X746</f>
        <v>0</v>
      </c>
      <c r="Y746" s="49">
        <f>'Kalkulace a Porovnání'!Y746</f>
        <v>0</v>
      </c>
      <c r="Z746" s="49">
        <f>'Kalkulace a Porovnání'!Z746</f>
        <v>0</v>
      </c>
      <c r="AA746" s="49">
        <f>'Kalkulace a Porovnání'!AA746</f>
        <v>0</v>
      </c>
      <c r="AB746" s="32">
        <f>'Kalkulace a Porovnání'!AB746</f>
        <v>0</v>
      </c>
      <c r="AC746" s="183"/>
      <c r="AD746" s="547"/>
      <c r="AG746" s="184"/>
      <c r="AH746" s="184"/>
      <c r="AI746" s="342"/>
      <c r="AJ746" s="342"/>
      <c r="AK746" s="547"/>
      <c r="AL746" s="183"/>
    </row>
    <row r="747" spans="2:38" x14ac:dyDescent="0.25">
      <c r="B747" s="12" t="s">
        <v>69</v>
      </c>
      <c r="C747" s="13" t="s">
        <v>70</v>
      </c>
      <c r="D747" s="3" t="s">
        <v>66</v>
      </c>
      <c r="E747" s="49">
        <f>'Kalkulace a Porovnání'!E747</f>
        <v>0</v>
      </c>
      <c r="F747" s="49">
        <f>'Kalkulace a Porovnání'!F747</f>
        <v>0</v>
      </c>
      <c r="G747" s="49">
        <f>'Kalkulace a Porovnání'!G747</f>
        <v>0</v>
      </c>
      <c r="H747" s="32">
        <f>'Kalkulace a Porovnání'!H747</f>
        <v>0</v>
      </c>
      <c r="K747" s="12" t="s">
        <v>69</v>
      </c>
      <c r="L747" s="13" t="s">
        <v>70</v>
      </c>
      <c r="M747" s="3" t="s">
        <v>66</v>
      </c>
      <c r="N747" s="49">
        <f>'Kalkulace a Porovnání'!N747</f>
        <v>0</v>
      </c>
      <c r="O747" s="49">
        <f>'Kalkulace a Porovnání'!O747</f>
        <v>0</v>
      </c>
      <c r="P747" s="49">
        <f>'Kalkulace a Porovnání'!P747</f>
        <v>0</v>
      </c>
      <c r="Q747" s="32">
        <f>'Kalkulace a Porovnání'!Q747</f>
        <v>0</v>
      </c>
      <c r="T747" s="12" t="s">
        <v>69</v>
      </c>
      <c r="U747" s="13" t="s">
        <v>70</v>
      </c>
      <c r="V747" s="3" t="s">
        <v>66</v>
      </c>
      <c r="W747" s="49">
        <f>'Kalkulace a Porovnání'!W747</f>
        <v>0</v>
      </c>
      <c r="X747" s="49">
        <f>'Kalkulace a Porovnání'!X747</f>
        <v>0</v>
      </c>
      <c r="Y747" s="49">
        <f>'Kalkulace a Porovnání'!Y747</f>
        <v>0</v>
      </c>
      <c r="Z747" s="49">
        <f>'Kalkulace a Porovnání'!Z747</f>
        <v>0</v>
      </c>
      <c r="AA747" s="49">
        <f>'Kalkulace a Porovnání'!AA747</f>
        <v>0</v>
      </c>
      <c r="AB747" s="32">
        <f>'Kalkulace a Porovnání'!AB747</f>
        <v>0</v>
      </c>
      <c r="AC747" s="183"/>
      <c r="AD747" s="547"/>
      <c r="AG747" s="549"/>
      <c r="AH747" s="549"/>
      <c r="AI747" s="342"/>
      <c r="AJ747" s="342"/>
      <c r="AK747" s="547"/>
      <c r="AL747" s="183"/>
    </row>
    <row r="748" spans="2:38" x14ac:dyDescent="0.25">
      <c r="B748" s="12" t="s">
        <v>71</v>
      </c>
      <c r="C748" s="13" t="s">
        <v>68</v>
      </c>
      <c r="D748" s="3" t="s">
        <v>66</v>
      </c>
      <c r="E748" s="49">
        <f>'Kalkulace a Porovnání'!E748</f>
        <v>0</v>
      </c>
      <c r="F748" s="49">
        <f>'Kalkulace a Porovnání'!F748</f>
        <v>0</v>
      </c>
      <c r="G748" s="49">
        <f>'Kalkulace a Porovnání'!G748</f>
        <v>0</v>
      </c>
      <c r="H748" s="32">
        <f>'Kalkulace a Porovnání'!H748</f>
        <v>0</v>
      </c>
      <c r="K748" s="12" t="s">
        <v>71</v>
      </c>
      <c r="L748" s="13" t="s">
        <v>68</v>
      </c>
      <c r="M748" s="3" t="s">
        <v>66</v>
      </c>
      <c r="N748" s="49">
        <f>'Kalkulace a Porovnání'!N748</f>
        <v>0</v>
      </c>
      <c r="O748" s="49">
        <f>'Kalkulace a Porovnání'!O748</f>
        <v>0</v>
      </c>
      <c r="P748" s="49">
        <f>'Kalkulace a Porovnání'!P748</f>
        <v>0</v>
      </c>
      <c r="Q748" s="32">
        <f>'Kalkulace a Porovnání'!Q748</f>
        <v>0</v>
      </c>
      <c r="T748" s="12" t="s">
        <v>71</v>
      </c>
      <c r="U748" s="13" t="s">
        <v>68</v>
      </c>
      <c r="V748" s="3" t="s">
        <v>66</v>
      </c>
      <c r="W748" s="49">
        <f>'Kalkulace a Porovnání'!W748</f>
        <v>0</v>
      </c>
      <c r="X748" s="49">
        <f>'Kalkulace a Porovnání'!X748</f>
        <v>0</v>
      </c>
      <c r="Y748" s="49">
        <f>'Kalkulace a Porovnání'!Y748</f>
        <v>0</v>
      </c>
      <c r="Z748" s="49">
        <f>'Kalkulace a Porovnání'!Z748</f>
        <v>0</v>
      </c>
      <c r="AA748" s="49">
        <f>'Kalkulace a Porovnání'!AA748</f>
        <v>0</v>
      </c>
      <c r="AB748" s="32">
        <f>'Kalkulace a Porovnání'!AB748</f>
        <v>0</v>
      </c>
      <c r="AC748" s="183"/>
      <c r="AD748" s="547"/>
      <c r="AG748" s="546"/>
      <c r="AH748" s="546"/>
      <c r="AI748" s="342"/>
      <c r="AJ748" s="342"/>
      <c r="AK748" s="547"/>
      <c r="AL748" s="183"/>
    </row>
    <row r="749" spans="2:38" x14ac:dyDescent="0.25">
      <c r="B749" s="12" t="s">
        <v>72</v>
      </c>
      <c r="C749" s="13" t="s">
        <v>73</v>
      </c>
      <c r="D749" s="3" t="s">
        <v>66</v>
      </c>
      <c r="E749" s="49">
        <f>'Kalkulace a Porovnání'!E749</f>
        <v>0</v>
      </c>
      <c r="F749" s="49">
        <f>'Kalkulace a Porovnání'!F749</f>
        <v>0</v>
      </c>
      <c r="G749" s="49">
        <f>'Kalkulace a Porovnání'!G749</f>
        <v>0</v>
      </c>
      <c r="H749" s="32">
        <f>'Kalkulace a Porovnání'!H749</f>
        <v>0</v>
      </c>
      <c r="K749" s="12" t="s">
        <v>72</v>
      </c>
      <c r="L749" s="13" t="s">
        <v>73</v>
      </c>
      <c r="M749" s="3" t="s">
        <v>66</v>
      </c>
      <c r="N749" s="49">
        <f>'Kalkulace a Porovnání'!N749</f>
        <v>0</v>
      </c>
      <c r="O749" s="49">
        <f>'Kalkulace a Porovnání'!O749</f>
        <v>0</v>
      </c>
      <c r="P749" s="49">
        <f>'Kalkulace a Porovnání'!P749</f>
        <v>0</v>
      </c>
      <c r="Q749" s="32">
        <f>'Kalkulace a Porovnání'!Q749</f>
        <v>0</v>
      </c>
      <c r="T749" s="12" t="s">
        <v>72</v>
      </c>
      <c r="U749" s="13" t="s">
        <v>73</v>
      </c>
      <c r="V749" s="3" t="s">
        <v>66</v>
      </c>
      <c r="W749" s="49">
        <f>'Kalkulace a Porovnání'!W749</f>
        <v>0</v>
      </c>
      <c r="X749" s="49">
        <f>'Kalkulace a Porovnání'!X749</f>
        <v>0</v>
      </c>
      <c r="Y749" s="49">
        <f>'Kalkulace a Porovnání'!Y749</f>
        <v>0</v>
      </c>
      <c r="Z749" s="49">
        <f>'Kalkulace a Porovnání'!Z749</f>
        <v>0</v>
      </c>
      <c r="AA749" s="49">
        <f>'Kalkulace a Porovnání'!AA749</f>
        <v>0</v>
      </c>
      <c r="AB749" s="32">
        <f>'Kalkulace a Porovnání'!AB749</f>
        <v>0</v>
      </c>
      <c r="AC749" s="183"/>
      <c r="AD749" s="547"/>
      <c r="AG749" s="184"/>
      <c r="AH749" s="184"/>
      <c r="AI749" s="549"/>
      <c r="AJ749" s="549"/>
      <c r="AK749" s="547"/>
      <c r="AL749" s="183"/>
    </row>
    <row r="750" spans="2:38" x14ac:dyDescent="0.25">
      <c r="B750" s="12" t="s">
        <v>74</v>
      </c>
      <c r="C750" s="13" t="s">
        <v>75</v>
      </c>
      <c r="D750" s="3" t="s">
        <v>66</v>
      </c>
      <c r="E750" s="49">
        <f>'Kalkulace a Porovnání'!E750</f>
        <v>0</v>
      </c>
      <c r="F750" s="49">
        <f>'Kalkulace a Porovnání'!F750</f>
        <v>0</v>
      </c>
      <c r="G750" s="49">
        <f>'Kalkulace a Porovnání'!G750</f>
        <v>0</v>
      </c>
      <c r="H750" s="32">
        <f>'Kalkulace a Porovnání'!H750</f>
        <v>0</v>
      </c>
      <c r="K750" s="12" t="s">
        <v>74</v>
      </c>
      <c r="L750" s="13" t="s">
        <v>75</v>
      </c>
      <c r="M750" s="3" t="s">
        <v>66</v>
      </c>
      <c r="N750" s="49">
        <f>'Kalkulace a Porovnání'!N750</f>
        <v>0</v>
      </c>
      <c r="O750" s="49">
        <f>'Kalkulace a Porovnání'!O750</f>
        <v>0</v>
      </c>
      <c r="P750" s="49">
        <f>'Kalkulace a Porovnání'!P750</f>
        <v>0</v>
      </c>
      <c r="Q750" s="32">
        <f>'Kalkulace a Porovnání'!Q750</f>
        <v>0</v>
      </c>
      <c r="T750" s="12" t="s">
        <v>74</v>
      </c>
      <c r="U750" s="13" t="s">
        <v>75</v>
      </c>
      <c r="V750" s="3" t="s">
        <v>66</v>
      </c>
      <c r="W750" s="49">
        <f>'Kalkulace a Porovnání'!W750</f>
        <v>0</v>
      </c>
      <c r="X750" s="49">
        <f>'Kalkulace a Porovnání'!X750</f>
        <v>0</v>
      </c>
      <c r="Y750" s="49">
        <f>'Kalkulace a Porovnání'!Y750</f>
        <v>0</v>
      </c>
      <c r="Z750" s="49">
        <f>'Kalkulace a Porovnání'!Z750</f>
        <v>0</v>
      </c>
      <c r="AA750" s="49">
        <f>'Kalkulace a Porovnání'!AA750</f>
        <v>0</v>
      </c>
      <c r="AB750" s="32">
        <f>'Kalkulace a Porovnání'!AB750</f>
        <v>0</v>
      </c>
      <c r="AC750" s="183"/>
      <c r="AD750" s="547"/>
      <c r="AG750" s="184"/>
      <c r="AH750" s="184"/>
      <c r="AI750" s="549"/>
      <c r="AJ750" s="549"/>
      <c r="AK750" s="547"/>
      <c r="AL750" s="183"/>
    </row>
    <row r="751" spans="2:38" x14ac:dyDescent="0.25">
      <c r="B751" s="12" t="s">
        <v>76</v>
      </c>
      <c r="C751" s="13" t="s">
        <v>77</v>
      </c>
      <c r="D751" s="3" t="s">
        <v>66</v>
      </c>
      <c r="E751" s="49">
        <f>'Kalkulace a Porovnání'!E751</f>
        <v>0</v>
      </c>
      <c r="F751" s="49">
        <f>'Kalkulace a Porovnání'!F751</f>
        <v>0</v>
      </c>
      <c r="G751" s="49">
        <f>'Kalkulace a Porovnání'!G751</f>
        <v>0</v>
      </c>
      <c r="H751" s="32">
        <f>'Kalkulace a Porovnání'!H751</f>
        <v>0</v>
      </c>
      <c r="K751" s="12" t="s">
        <v>76</v>
      </c>
      <c r="L751" s="13" t="s">
        <v>77</v>
      </c>
      <c r="M751" s="3" t="s">
        <v>66</v>
      </c>
      <c r="N751" s="49">
        <f>'Kalkulace a Porovnání'!N751</f>
        <v>0</v>
      </c>
      <c r="O751" s="49">
        <f>'Kalkulace a Porovnání'!O751</f>
        <v>0</v>
      </c>
      <c r="P751" s="49">
        <f>'Kalkulace a Porovnání'!P751</f>
        <v>0</v>
      </c>
      <c r="Q751" s="32">
        <f>'Kalkulace a Porovnání'!Q751</f>
        <v>0</v>
      </c>
      <c r="T751" s="12" t="s">
        <v>76</v>
      </c>
      <c r="U751" s="13" t="s">
        <v>77</v>
      </c>
      <c r="V751" s="3" t="s">
        <v>66</v>
      </c>
      <c r="W751" s="49">
        <f>'Kalkulace a Porovnání'!W751</f>
        <v>0</v>
      </c>
      <c r="X751" s="49">
        <f>'Kalkulace a Porovnání'!X751</f>
        <v>0</v>
      </c>
      <c r="Y751" s="49">
        <f>'Kalkulace a Porovnání'!Y751</f>
        <v>0</v>
      </c>
      <c r="Z751" s="49">
        <f>'Kalkulace a Porovnání'!Z751</f>
        <v>0</v>
      </c>
      <c r="AA751" s="49">
        <f>'Kalkulace a Porovnání'!AA751</f>
        <v>0</v>
      </c>
      <c r="AB751" s="32">
        <f>'Kalkulace a Porovnání'!AB751</f>
        <v>0</v>
      </c>
      <c r="AC751" s="183"/>
      <c r="AD751" s="547"/>
      <c r="AG751" s="184"/>
      <c r="AH751" s="184"/>
      <c r="AI751" s="549"/>
      <c r="AJ751" s="549"/>
      <c r="AK751" s="547"/>
      <c r="AL751" s="183"/>
    </row>
    <row r="752" spans="2:38" x14ac:dyDescent="0.25">
      <c r="B752" s="12" t="s">
        <v>78</v>
      </c>
      <c r="C752" s="13" t="s">
        <v>79</v>
      </c>
      <c r="D752" s="3" t="s">
        <v>66</v>
      </c>
      <c r="E752" s="49">
        <f>'Kalkulace a Porovnání'!E752</f>
        <v>0</v>
      </c>
      <c r="F752" s="49">
        <f>'Kalkulace a Porovnání'!F752</f>
        <v>0</v>
      </c>
      <c r="G752" s="49">
        <f>'Kalkulace a Porovnání'!G752</f>
        <v>0</v>
      </c>
      <c r="H752" s="32">
        <f>'Kalkulace a Porovnání'!H752</f>
        <v>0</v>
      </c>
      <c r="K752" s="12" t="s">
        <v>78</v>
      </c>
      <c r="L752" s="13" t="s">
        <v>79</v>
      </c>
      <c r="M752" s="3" t="s">
        <v>66</v>
      </c>
      <c r="N752" s="49">
        <f>'Kalkulace a Porovnání'!N752</f>
        <v>0</v>
      </c>
      <c r="O752" s="49">
        <f>'Kalkulace a Porovnání'!O752</f>
        <v>0</v>
      </c>
      <c r="P752" s="49">
        <f>'Kalkulace a Porovnání'!P752</f>
        <v>0</v>
      </c>
      <c r="Q752" s="32">
        <f>'Kalkulace a Porovnání'!Q752</f>
        <v>0</v>
      </c>
      <c r="T752" s="12" t="s">
        <v>78</v>
      </c>
      <c r="U752" s="13" t="s">
        <v>79</v>
      </c>
      <c r="V752" s="3" t="s">
        <v>66</v>
      </c>
      <c r="W752" s="49">
        <f>'Kalkulace a Porovnání'!W752</f>
        <v>0</v>
      </c>
      <c r="X752" s="49">
        <f>'Kalkulace a Porovnání'!X752</f>
        <v>0</v>
      </c>
      <c r="Y752" s="49">
        <f>'Kalkulace a Porovnání'!Y752</f>
        <v>0</v>
      </c>
      <c r="Z752" s="49">
        <f>'Kalkulace a Porovnání'!Z752</f>
        <v>0</v>
      </c>
      <c r="AA752" s="49">
        <f>'Kalkulace a Porovnání'!AA752</f>
        <v>0</v>
      </c>
      <c r="AB752" s="32">
        <f>'Kalkulace a Porovnání'!AB752</f>
        <v>0</v>
      </c>
      <c r="AC752" s="183"/>
      <c r="AD752" s="547"/>
      <c r="AG752" s="421"/>
      <c r="AH752" s="421"/>
      <c r="AI752" s="342"/>
      <c r="AJ752" s="342"/>
      <c r="AK752" s="547"/>
      <c r="AL752" s="183"/>
    </row>
    <row r="753" spans="2:38" x14ac:dyDescent="0.25">
      <c r="B753" s="1"/>
      <c r="C753" s="1"/>
      <c r="D753" s="1"/>
      <c r="E753" s="1"/>
      <c r="F753" s="1"/>
      <c r="G753" s="1"/>
      <c r="H753" s="1"/>
      <c r="K753" s="1"/>
      <c r="L753" s="1"/>
      <c r="M753" s="1"/>
      <c r="N753" s="1"/>
      <c r="O753" s="1"/>
      <c r="P753" s="1"/>
      <c r="Q753" s="1"/>
      <c r="T753" s="1"/>
      <c r="U753" s="1"/>
      <c r="V753" s="1"/>
      <c r="W753" s="1"/>
      <c r="X753" s="1"/>
      <c r="Y753" s="1"/>
      <c r="Z753" s="1"/>
      <c r="AA753" s="1"/>
      <c r="AB753" s="1"/>
      <c r="AC753" s="183"/>
      <c r="AD753" s="547"/>
      <c r="AG753" s="547"/>
      <c r="AH753" s="547"/>
      <c r="AI753" s="547"/>
      <c r="AJ753" s="547"/>
      <c r="AK753" s="547"/>
      <c r="AL753" s="183"/>
    </row>
    <row r="754" spans="2:38" x14ac:dyDescent="0.25">
      <c r="B754" s="932" t="s">
        <v>5</v>
      </c>
      <c r="C754" s="721" t="s">
        <v>80</v>
      </c>
      <c r="D754" s="722"/>
      <c r="E754" s="723"/>
      <c r="F754" s="724"/>
      <c r="G754" s="722"/>
      <c r="H754" s="725"/>
      <c r="K754" s="932" t="s">
        <v>5</v>
      </c>
      <c r="L754" s="721" t="s">
        <v>80</v>
      </c>
      <c r="M754" s="722"/>
      <c r="N754" s="723"/>
      <c r="O754" s="724"/>
      <c r="P754" s="722"/>
      <c r="Q754" s="725"/>
      <c r="T754" s="771" t="s">
        <v>5</v>
      </c>
      <c r="U754" s="721" t="s">
        <v>80</v>
      </c>
      <c r="V754" s="722"/>
      <c r="W754" s="723"/>
      <c r="X754" s="723"/>
      <c r="Y754" s="724"/>
      <c r="Z754" s="722"/>
      <c r="AA754" s="722"/>
      <c r="AB754" s="725"/>
      <c r="AC754" s="183"/>
      <c r="AD754" s="547"/>
      <c r="AG754" s="547"/>
      <c r="AH754" s="547"/>
      <c r="AI754" s="547"/>
      <c r="AJ754" s="547"/>
      <c r="AK754" s="547"/>
      <c r="AL754" s="183"/>
    </row>
    <row r="755" spans="2:38" x14ac:dyDescent="0.25">
      <c r="B755" s="930"/>
      <c r="C755" s="932" t="s">
        <v>81</v>
      </c>
      <c r="D755" s="929" t="s">
        <v>173</v>
      </c>
      <c r="E755" s="874" t="s">
        <v>118</v>
      </c>
      <c r="F755" s="937"/>
      <c r="G755" s="26" t="s">
        <v>3</v>
      </c>
      <c r="H755" s="23" t="s">
        <v>4</v>
      </c>
      <c r="K755" s="930"/>
      <c r="L755" s="5" t="s">
        <v>81</v>
      </c>
      <c r="M755" s="929" t="s">
        <v>173</v>
      </c>
      <c r="N755" s="874" t="s">
        <v>118</v>
      </c>
      <c r="O755" s="937"/>
      <c r="P755" s="26" t="s">
        <v>3</v>
      </c>
      <c r="Q755" s="23" t="s">
        <v>4</v>
      </c>
      <c r="T755" s="934"/>
      <c r="U755" s="932" t="s">
        <v>81</v>
      </c>
      <c r="V755" s="929" t="s">
        <v>173</v>
      </c>
      <c r="W755" s="874" t="s">
        <v>118</v>
      </c>
      <c r="X755" s="937"/>
      <c r="Y755" s="874" t="s">
        <v>3</v>
      </c>
      <c r="Z755" s="939"/>
      <c r="AA755" s="940" t="s">
        <v>4</v>
      </c>
      <c r="AB755" s="940"/>
      <c r="AC755" s="183"/>
      <c r="AD755" s="547"/>
      <c r="AG755" s="547"/>
      <c r="AH755" s="547"/>
      <c r="AI755" s="547"/>
      <c r="AJ755" s="547"/>
      <c r="AK755" s="547"/>
      <c r="AL755" s="183"/>
    </row>
    <row r="756" spans="2:38" x14ac:dyDescent="0.25">
      <c r="B756" s="931"/>
      <c r="C756" s="931"/>
      <c r="D756" s="936"/>
      <c r="E756" s="875"/>
      <c r="F756" s="938"/>
      <c r="G756" s="27" t="s">
        <v>7</v>
      </c>
      <c r="H756" s="24" t="s">
        <v>7</v>
      </c>
      <c r="K756" s="931"/>
      <c r="L756" s="8"/>
      <c r="M756" s="936"/>
      <c r="N756" s="875"/>
      <c r="O756" s="938"/>
      <c r="P756" s="27" t="s">
        <v>7</v>
      </c>
      <c r="Q756" s="24" t="s">
        <v>7</v>
      </c>
      <c r="T756" s="935"/>
      <c r="U756" s="931"/>
      <c r="V756" s="936"/>
      <c r="W756" s="875"/>
      <c r="X756" s="938"/>
      <c r="Y756" s="40" t="s">
        <v>196</v>
      </c>
      <c r="Z756" s="40" t="s">
        <v>7</v>
      </c>
      <c r="AA756" s="40" t="s">
        <v>196</v>
      </c>
      <c r="AB756" s="40" t="s">
        <v>7</v>
      </c>
      <c r="AC756" s="183"/>
      <c r="AD756" s="547"/>
      <c r="AG756" s="547"/>
      <c r="AH756" s="547"/>
      <c r="AI756" s="547"/>
      <c r="AJ756" s="547"/>
      <c r="AK756" s="547"/>
      <c r="AL756" s="183"/>
    </row>
    <row r="757" spans="2:38" x14ac:dyDescent="0.25">
      <c r="B757" s="11">
        <v>1</v>
      </c>
      <c r="C757" s="11">
        <v>2</v>
      </c>
      <c r="D757" s="11" t="s">
        <v>111</v>
      </c>
      <c r="E757" s="735" t="s">
        <v>115</v>
      </c>
      <c r="F757" s="736"/>
      <c r="G757" s="11" t="s">
        <v>116</v>
      </c>
      <c r="H757" s="22" t="s">
        <v>117</v>
      </c>
      <c r="K757" s="11">
        <v>1</v>
      </c>
      <c r="L757" s="11">
        <v>2</v>
      </c>
      <c r="M757" s="11" t="s">
        <v>111</v>
      </c>
      <c r="N757" s="735" t="s">
        <v>115</v>
      </c>
      <c r="O757" s="736"/>
      <c r="P757" s="11" t="s">
        <v>116</v>
      </c>
      <c r="Q757" s="22" t="s">
        <v>117</v>
      </c>
      <c r="T757" s="11">
        <v>1</v>
      </c>
      <c r="U757" s="11">
        <v>2</v>
      </c>
      <c r="V757" s="11" t="s">
        <v>111</v>
      </c>
      <c r="W757" s="944" t="s">
        <v>115</v>
      </c>
      <c r="X757" s="945"/>
      <c r="Y757" s="11" t="s">
        <v>201</v>
      </c>
      <c r="Z757" s="11" t="s">
        <v>116</v>
      </c>
      <c r="AA757" s="11" t="s">
        <v>200</v>
      </c>
      <c r="AB757" s="22" t="s">
        <v>117</v>
      </c>
      <c r="AC757" s="183"/>
      <c r="AD757" s="547"/>
      <c r="AG757" s="547"/>
      <c r="AH757" s="547"/>
      <c r="AI757" s="547"/>
      <c r="AJ757" s="547"/>
      <c r="AK757" s="547"/>
      <c r="AL757" s="183"/>
    </row>
    <row r="758" spans="2:38" x14ac:dyDescent="0.25">
      <c r="B758" s="12" t="s">
        <v>82</v>
      </c>
      <c r="C758" s="13" t="s">
        <v>127</v>
      </c>
      <c r="D758" s="13" t="s">
        <v>83</v>
      </c>
      <c r="E758" s="732" t="s">
        <v>120</v>
      </c>
      <c r="F758" s="733"/>
      <c r="G758" s="172">
        <f>'Kalkulace a Porovnání'!G758</f>
        <v>0</v>
      </c>
      <c r="H758" s="172">
        <f>'Kalkulace a Porovnání'!H758</f>
        <v>0</v>
      </c>
      <c r="K758" s="12" t="s">
        <v>82</v>
      </c>
      <c r="L758" s="13" t="s">
        <v>127</v>
      </c>
      <c r="M758" s="13" t="s">
        <v>83</v>
      </c>
      <c r="N758" s="732" t="s">
        <v>120</v>
      </c>
      <c r="O758" s="733"/>
      <c r="P758" s="172">
        <f>'Kalkulace a Porovnání'!P758</f>
        <v>0</v>
      </c>
      <c r="Q758" s="172">
        <f>'Kalkulace a Porovnání'!Q758</f>
        <v>0</v>
      </c>
      <c r="T758" s="12" t="s">
        <v>82</v>
      </c>
      <c r="U758" s="13" t="s">
        <v>127</v>
      </c>
      <c r="V758" s="13" t="s">
        <v>83</v>
      </c>
      <c r="W758" s="13" t="s">
        <v>120</v>
      </c>
      <c r="X758" s="101"/>
      <c r="Y758" s="172">
        <f>'Kalkulace a Porovnání'!Y758</f>
        <v>0</v>
      </c>
      <c r="Z758" s="172">
        <f>'Kalkulace a Porovnání'!Z758</f>
        <v>0</v>
      </c>
      <c r="AA758" s="172">
        <f>'Kalkulace a Porovnání'!AA758</f>
        <v>0</v>
      </c>
      <c r="AB758" s="172">
        <f>'Kalkulace a Porovnání'!AB758</f>
        <v>0</v>
      </c>
      <c r="AC758" s="183"/>
      <c r="AD758" s="547"/>
      <c r="AG758" s="547"/>
      <c r="AH758" s="547"/>
      <c r="AI758" s="547"/>
      <c r="AJ758" s="547"/>
      <c r="AK758" s="547"/>
      <c r="AL758" s="183"/>
    </row>
    <row r="759" spans="2:38" x14ac:dyDescent="0.25">
      <c r="B759" s="12" t="s">
        <v>84</v>
      </c>
      <c r="C759" s="13" t="s">
        <v>85</v>
      </c>
      <c r="D759" s="13" t="s">
        <v>10</v>
      </c>
      <c r="E759" s="732" t="s">
        <v>121</v>
      </c>
      <c r="F759" s="733"/>
      <c r="G759" s="449">
        <f>'Kalkulace a Porovnání'!G759</f>
        <v>0</v>
      </c>
      <c r="H759" s="449">
        <f>'Kalkulace a Porovnání'!H759</f>
        <v>0</v>
      </c>
      <c r="K759" s="12" t="s">
        <v>84</v>
      </c>
      <c r="L759" s="13" t="s">
        <v>85</v>
      </c>
      <c r="M759" s="13" t="s">
        <v>10</v>
      </c>
      <c r="N759" s="732" t="s">
        <v>121</v>
      </c>
      <c r="O759" s="733"/>
      <c r="P759" s="449">
        <f>'Kalkulace a Porovnání'!P759</f>
        <v>0</v>
      </c>
      <c r="Q759" s="449">
        <f>'Kalkulace a Porovnání'!Q759</f>
        <v>0</v>
      </c>
      <c r="T759" s="12" t="s">
        <v>84</v>
      </c>
      <c r="U759" s="13" t="s">
        <v>85</v>
      </c>
      <c r="V759" s="13" t="s">
        <v>10</v>
      </c>
      <c r="W759" s="13" t="s">
        <v>121</v>
      </c>
      <c r="X759" s="101"/>
      <c r="Y759" s="449">
        <f>'Kalkulace a Porovnání'!Y759</f>
        <v>0</v>
      </c>
      <c r="Z759" s="449">
        <f>'Kalkulace a Porovnání'!Z759</f>
        <v>0</v>
      </c>
      <c r="AA759" s="449">
        <f>'Kalkulace a Porovnání'!AA759</f>
        <v>0</v>
      </c>
      <c r="AB759" s="449">
        <f>'Kalkulace a Porovnání'!AB759</f>
        <v>0</v>
      </c>
      <c r="AC759" s="183"/>
      <c r="AD759" s="547"/>
      <c r="AG759" s="547"/>
      <c r="AH759" s="547"/>
      <c r="AI759" s="547"/>
      <c r="AJ759" s="547"/>
      <c r="AK759" s="547"/>
      <c r="AL759" s="183"/>
    </row>
    <row r="760" spans="2:38" x14ac:dyDescent="0.25">
      <c r="B760" s="12" t="s">
        <v>86</v>
      </c>
      <c r="C760" s="13" t="s">
        <v>87</v>
      </c>
      <c r="D760" s="13" t="s">
        <v>10</v>
      </c>
      <c r="E760" s="732"/>
      <c r="F760" s="733"/>
      <c r="G760" s="449">
        <f>'Kalkulace a Porovnání'!G760</f>
        <v>0</v>
      </c>
      <c r="H760" s="449">
        <f>'Kalkulace a Porovnání'!H760</f>
        <v>0</v>
      </c>
      <c r="K760" s="12" t="s">
        <v>86</v>
      </c>
      <c r="L760" s="13" t="s">
        <v>87</v>
      </c>
      <c r="M760" s="13" t="s">
        <v>10</v>
      </c>
      <c r="N760" s="732"/>
      <c r="O760" s="733"/>
      <c r="P760" s="449">
        <f>'Kalkulace a Porovnání'!P760</f>
        <v>0</v>
      </c>
      <c r="Q760" s="449">
        <f>'Kalkulace a Porovnání'!Q760</f>
        <v>0</v>
      </c>
      <c r="T760" s="12" t="s">
        <v>86</v>
      </c>
      <c r="U760" s="13" t="s">
        <v>87</v>
      </c>
      <c r="V760" s="13" t="s">
        <v>10</v>
      </c>
      <c r="W760" s="13"/>
      <c r="X760" s="101"/>
      <c r="Y760" s="449">
        <f>'Kalkulace a Porovnání'!Y760</f>
        <v>0</v>
      </c>
      <c r="Z760" s="449">
        <f>'Kalkulace a Porovnání'!Z760</f>
        <v>0</v>
      </c>
      <c r="AA760" s="449">
        <f>'Kalkulace a Porovnání'!AA760</f>
        <v>0</v>
      </c>
      <c r="AB760" s="449">
        <f>'Kalkulace a Porovnání'!AB760</f>
        <v>0</v>
      </c>
      <c r="AC760" s="183"/>
      <c r="AD760" s="547"/>
      <c r="AG760" s="547"/>
      <c r="AH760" s="547"/>
      <c r="AI760" s="547"/>
      <c r="AJ760" s="547"/>
      <c r="AK760" s="547"/>
      <c r="AL760" s="183"/>
    </row>
    <row r="761" spans="2:38" x14ac:dyDescent="0.25">
      <c r="B761" s="12" t="s">
        <v>88</v>
      </c>
      <c r="C761" s="21" t="s">
        <v>89</v>
      </c>
      <c r="D761" s="13" t="s">
        <v>90</v>
      </c>
      <c r="E761" s="732" t="s">
        <v>123</v>
      </c>
      <c r="F761" s="733"/>
      <c r="G761" s="172">
        <f>'Kalkulace a Porovnání'!G761</f>
        <v>0</v>
      </c>
      <c r="H761" s="172">
        <f>'Kalkulace a Porovnání'!H761</f>
        <v>0</v>
      </c>
      <c r="K761" s="12" t="s">
        <v>88</v>
      </c>
      <c r="L761" s="21" t="s">
        <v>89</v>
      </c>
      <c r="M761" s="13" t="s">
        <v>90</v>
      </c>
      <c r="N761" s="732" t="s">
        <v>123</v>
      </c>
      <c r="O761" s="733"/>
      <c r="P761" s="172">
        <f>'Kalkulace a Porovnání'!P761</f>
        <v>0</v>
      </c>
      <c r="Q761" s="172">
        <f>'Kalkulace a Porovnání'!Q761</f>
        <v>0</v>
      </c>
      <c r="T761" s="12" t="s">
        <v>88</v>
      </c>
      <c r="U761" s="21" t="s">
        <v>89</v>
      </c>
      <c r="V761" s="13" t="s">
        <v>90</v>
      </c>
      <c r="W761" s="13" t="s">
        <v>123</v>
      </c>
      <c r="X761" s="101"/>
      <c r="Y761" s="172">
        <f>'Kalkulace a Porovnání'!Y761</f>
        <v>0</v>
      </c>
      <c r="Z761" s="172">
        <f>'Kalkulace a Porovnání'!Z761</f>
        <v>0</v>
      </c>
      <c r="AA761" s="172">
        <f>'Kalkulace a Porovnání'!AA761</f>
        <v>0</v>
      </c>
      <c r="AB761" s="172">
        <f>'Kalkulace a Porovnání'!AB761</f>
        <v>0</v>
      </c>
      <c r="AC761" s="183"/>
      <c r="AD761" s="547"/>
      <c r="AG761" s="547"/>
      <c r="AH761" s="547"/>
      <c r="AI761" s="547"/>
      <c r="AJ761" s="547"/>
      <c r="AK761" s="547"/>
      <c r="AL761" s="183"/>
    </row>
    <row r="762" spans="2:38" x14ac:dyDescent="0.25">
      <c r="B762" s="12" t="s">
        <v>91</v>
      </c>
      <c r="C762" s="21" t="s">
        <v>92</v>
      </c>
      <c r="D762" s="13" t="s">
        <v>10</v>
      </c>
      <c r="E762" s="732"/>
      <c r="F762" s="733"/>
      <c r="G762" s="449">
        <f>'Kalkulace a Porovnání'!G762</f>
        <v>0</v>
      </c>
      <c r="H762" s="449">
        <f>'Kalkulace a Porovnání'!H762</f>
        <v>0</v>
      </c>
      <c r="K762" s="12" t="s">
        <v>91</v>
      </c>
      <c r="L762" s="21" t="s">
        <v>92</v>
      </c>
      <c r="M762" s="13" t="s">
        <v>10</v>
      </c>
      <c r="N762" s="732"/>
      <c r="O762" s="733"/>
      <c r="P762" s="449">
        <f>'Kalkulace a Porovnání'!P762</f>
        <v>0</v>
      </c>
      <c r="Q762" s="449">
        <f>'Kalkulace a Porovnání'!Q762</f>
        <v>0</v>
      </c>
      <c r="T762" s="12" t="s">
        <v>91</v>
      </c>
      <c r="U762" s="21" t="s">
        <v>92</v>
      </c>
      <c r="V762" s="13" t="s">
        <v>10</v>
      </c>
      <c r="W762" s="13"/>
      <c r="X762" s="101"/>
      <c r="Y762" s="449">
        <f>'Kalkulace a Porovnání'!Y762</f>
        <v>0</v>
      </c>
      <c r="Z762" s="449">
        <f>'Kalkulace a Porovnání'!Z762</f>
        <v>0</v>
      </c>
      <c r="AA762" s="449">
        <f>'Kalkulace a Porovnání'!AA762</f>
        <v>0</v>
      </c>
      <c r="AB762" s="449">
        <f>'Kalkulace a Porovnání'!AB762</f>
        <v>0</v>
      </c>
      <c r="AC762" s="183"/>
      <c r="AD762" s="547"/>
      <c r="AG762" s="547"/>
      <c r="AH762" s="547"/>
      <c r="AI762" s="547"/>
      <c r="AJ762" s="547"/>
      <c r="AK762" s="547"/>
      <c r="AL762" s="183"/>
    </row>
    <row r="763" spans="2:38" x14ac:dyDescent="0.25">
      <c r="B763" s="12" t="s">
        <v>93</v>
      </c>
      <c r="C763" s="13" t="s">
        <v>94</v>
      </c>
      <c r="D763" s="13" t="s">
        <v>10</v>
      </c>
      <c r="E763" s="732" t="s">
        <v>122</v>
      </c>
      <c r="F763" s="733"/>
      <c r="G763" s="449">
        <f>'Kalkulace a Porovnání'!G763</f>
        <v>0</v>
      </c>
      <c r="H763" s="449">
        <f>'Kalkulace a Porovnání'!H763</f>
        <v>0</v>
      </c>
      <c r="K763" s="12" t="s">
        <v>93</v>
      </c>
      <c r="L763" s="13" t="s">
        <v>94</v>
      </c>
      <c r="M763" s="13" t="s">
        <v>10</v>
      </c>
      <c r="N763" s="732" t="s">
        <v>122</v>
      </c>
      <c r="O763" s="733"/>
      <c r="P763" s="449">
        <f>'Kalkulace a Porovnání'!P763</f>
        <v>0</v>
      </c>
      <c r="Q763" s="449">
        <f>'Kalkulace a Porovnání'!Q763</f>
        <v>0</v>
      </c>
      <c r="T763" s="12" t="s">
        <v>93</v>
      </c>
      <c r="U763" s="13" t="s">
        <v>94</v>
      </c>
      <c r="V763" s="13" t="s">
        <v>10</v>
      </c>
      <c r="W763" s="13" t="s">
        <v>122</v>
      </c>
      <c r="X763" s="101"/>
      <c r="Y763" s="449">
        <f>'Kalkulace a Porovnání'!Y763</f>
        <v>0</v>
      </c>
      <c r="Z763" s="449">
        <f>'Kalkulace a Porovnání'!Z763</f>
        <v>0</v>
      </c>
      <c r="AA763" s="449">
        <f>'Kalkulace a Porovnání'!AA763</f>
        <v>0</v>
      </c>
      <c r="AB763" s="449">
        <f>'Kalkulace a Porovnání'!AB763</f>
        <v>0</v>
      </c>
      <c r="AC763" s="183"/>
      <c r="AD763" s="547"/>
      <c r="AG763" s="547"/>
      <c r="AH763" s="547"/>
      <c r="AI763" s="547"/>
      <c r="AJ763" s="547"/>
      <c r="AK763" s="547"/>
      <c r="AL763" s="183"/>
    </row>
    <row r="764" spans="2:38" x14ac:dyDescent="0.25">
      <c r="B764" s="12" t="s">
        <v>95</v>
      </c>
      <c r="C764" s="13" t="s">
        <v>96</v>
      </c>
      <c r="D764" s="13" t="s">
        <v>66</v>
      </c>
      <c r="E764" s="732" t="s">
        <v>124</v>
      </c>
      <c r="F764" s="733"/>
      <c r="G764" s="449">
        <f>'Kalkulace a Porovnání'!G764</f>
        <v>0</v>
      </c>
      <c r="H764" s="449">
        <f>'Kalkulace a Porovnání'!H764</f>
        <v>0</v>
      </c>
      <c r="K764" s="12" t="s">
        <v>95</v>
      </c>
      <c r="L764" s="13" t="s">
        <v>96</v>
      </c>
      <c r="M764" s="13" t="s">
        <v>66</v>
      </c>
      <c r="N764" s="732" t="s">
        <v>124</v>
      </c>
      <c r="O764" s="733"/>
      <c r="P764" s="449">
        <f>'Kalkulace a Porovnání'!P764</f>
        <v>0</v>
      </c>
      <c r="Q764" s="449">
        <f>'Kalkulace a Porovnání'!Q764</f>
        <v>0</v>
      </c>
      <c r="T764" s="12" t="s">
        <v>95</v>
      </c>
      <c r="U764" s="13" t="s">
        <v>96</v>
      </c>
      <c r="V764" s="13" t="s">
        <v>66</v>
      </c>
      <c r="W764" s="13" t="s">
        <v>124</v>
      </c>
      <c r="X764" s="101"/>
      <c r="Y764" s="449">
        <f>'Kalkulace a Porovnání'!Y764</f>
        <v>0</v>
      </c>
      <c r="Z764" s="449">
        <f>'Kalkulace a Porovnání'!Z764</f>
        <v>0</v>
      </c>
      <c r="AA764" s="449">
        <f>'Kalkulace a Porovnání'!AA764</f>
        <v>0</v>
      </c>
      <c r="AB764" s="449">
        <f>'Kalkulace a Porovnání'!AB764</f>
        <v>0</v>
      </c>
      <c r="AC764" s="183"/>
      <c r="AD764" s="547"/>
      <c r="AG764" s="547"/>
      <c r="AH764" s="547"/>
      <c r="AI764" s="547"/>
      <c r="AJ764" s="547"/>
      <c r="AK764" s="547"/>
      <c r="AL764" s="183"/>
    </row>
    <row r="765" spans="2:38" x14ac:dyDescent="0.25">
      <c r="B765" s="12" t="s">
        <v>97</v>
      </c>
      <c r="C765" s="13" t="s">
        <v>98</v>
      </c>
      <c r="D765" s="13" t="s">
        <v>83</v>
      </c>
      <c r="E765" s="732" t="s">
        <v>125</v>
      </c>
      <c r="F765" s="733"/>
      <c r="G765" s="172">
        <f>'Kalkulace a Porovnání'!G765</f>
        <v>0</v>
      </c>
      <c r="H765" s="172">
        <f>'Kalkulace a Porovnání'!H765</f>
        <v>0</v>
      </c>
      <c r="K765" s="12" t="s">
        <v>97</v>
      </c>
      <c r="L765" s="13" t="s">
        <v>98</v>
      </c>
      <c r="M765" s="13" t="s">
        <v>83</v>
      </c>
      <c r="N765" s="732" t="s">
        <v>125</v>
      </c>
      <c r="O765" s="733"/>
      <c r="P765" s="172">
        <f>'Kalkulace a Porovnání'!P765</f>
        <v>0</v>
      </c>
      <c r="Q765" s="172">
        <f>'Kalkulace a Porovnání'!Q765</f>
        <v>0</v>
      </c>
      <c r="T765" s="12" t="s">
        <v>97</v>
      </c>
      <c r="U765" s="13" t="s">
        <v>98</v>
      </c>
      <c r="V765" s="13" t="s">
        <v>83</v>
      </c>
      <c r="W765" s="13" t="s">
        <v>125</v>
      </c>
      <c r="X765" s="101"/>
      <c r="Y765" s="172">
        <f>'Kalkulace a Porovnání'!Y765</f>
        <v>0</v>
      </c>
      <c r="Z765" s="172">
        <f>'Kalkulace a Porovnání'!Z765</f>
        <v>0</v>
      </c>
      <c r="AA765" s="172">
        <f>'Kalkulace a Porovnání'!AA765</f>
        <v>0</v>
      </c>
      <c r="AB765" s="172">
        <f>'Kalkulace a Porovnání'!AB765</f>
        <v>0</v>
      </c>
      <c r="AC765" s="183"/>
      <c r="AD765" s="547"/>
      <c r="AG765" s="547"/>
      <c r="AH765" s="547"/>
      <c r="AI765" s="547"/>
      <c r="AJ765" s="547"/>
      <c r="AK765" s="547"/>
      <c r="AL765" s="183"/>
    </row>
    <row r="766" spans="2:38" x14ac:dyDescent="0.25">
      <c r="B766" s="12" t="s">
        <v>99</v>
      </c>
      <c r="C766" s="13" t="str">
        <f>CONCATENATE("CENA pro vodné, stočné + ",Provozování!E794*100,"% DPH")</f>
        <v>CENA pro vodné, stočné + 0% DPH</v>
      </c>
      <c r="D766" s="13" t="s">
        <v>83</v>
      </c>
      <c r="E766" s="732" t="s">
        <v>126</v>
      </c>
      <c r="F766" s="733"/>
      <c r="G766" s="172">
        <f>'Kalkulace a Porovnání'!G766</f>
        <v>0</v>
      </c>
      <c r="H766" s="172">
        <f>'Kalkulace a Porovnání'!H766</f>
        <v>0</v>
      </c>
      <c r="K766" s="12" t="s">
        <v>99</v>
      </c>
      <c r="L766" s="13" t="str">
        <f>C766</f>
        <v>CENA pro vodné, stočné + 0% DPH</v>
      </c>
      <c r="M766" s="13" t="s">
        <v>83</v>
      </c>
      <c r="N766" s="732" t="s">
        <v>126</v>
      </c>
      <c r="O766" s="733"/>
      <c r="P766" s="172">
        <f>'Kalkulace a Porovnání'!P766</f>
        <v>0</v>
      </c>
      <c r="Q766" s="172">
        <f>'Kalkulace a Porovnání'!Q766</f>
        <v>0</v>
      </c>
      <c r="T766" s="12" t="s">
        <v>99</v>
      </c>
      <c r="U766" s="13" t="str">
        <f>C766</f>
        <v>CENA pro vodné, stočné + 0% DPH</v>
      </c>
      <c r="V766" s="13" t="s">
        <v>83</v>
      </c>
      <c r="W766" s="13" t="s">
        <v>126</v>
      </c>
      <c r="X766" s="101"/>
      <c r="Y766" s="172">
        <f>'Kalkulace a Porovnání'!Y766</f>
        <v>0</v>
      </c>
      <c r="Z766" s="172">
        <f>'Kalkulace a Porovnání'!Z766</f>
        <v>0</v>
      </c>
      <c r="AA766" s="172">
        <f>'Kalkulace a Porovnání'!AA766</f>
        <v>0</v>
      </c>
      <c r="AB766" s="172">
        <f>'Kalkulace a Porovnání'!AB766</f>
        <v>0</v>
      </c>
      <c r="AC766" s="183"/>
      <c r="AD766" s="547"/>
      <c r="AG766" s="547"/>
      <c r="AH766" s="547"/>
      <c r="AI766" s="547"/>
      <c r="AJ766" s="547"/>
      <c r="AK766" s="547"/>
      <c r="AL766" s="183"/>
    </row>
    <row r="767" spans="2:38" x14ac:dyDescent="0.25"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T767" s="967" t="s">
        <v>203</v>
      </c>
      <c r="U767" s="967" t="s">
        <v>202</v>
      </c>
      <c r="V767" s="968" t="s">
        <v>10</v>
      </c>
      <c r="W767" s="919" t="s">
        <v>204</v>
      </c>
      <c r="X767" s="732"/>
      <c r="Y767" s="102" t="s">
        <v>206</v>
      </c>
      <c r="Z767" s="105" t="s">
        <v>207</v>
      </c>
      <c r="AA767" s="102" t="s">
        <v>206</v>
      </c>
      <c r="AB767" s="105" t="s">
        <v>207</v>
      </c>
      <c r="AC767" s="183"/>
      <c r="AD767" s="547"/>
      <c r="AG767" s="547"/>
      <c r="AH767" s="547"/>
      <c r="AI767" s="547"/>
      <c r="AJ767" s="547"/>
      <c r="AK767" s="547"/>
      <c r="AL767" s="183"/>
    </row>
    <row r="768" spans="2:38" x14ac:dyDescent="0.25">
      <c r="B768" s="500"/>
      <c r="C768" s="499"/>
      <c r="D768" s="499"/>
      <c r="E768" s="499"/>
      <c r="F768" s="499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T768" s="967"/>
      <c r="U768" s="967"/>
      <c r="V768" s="968"/>
      <c r="W768" s="969">
        <f>'Kalkulace a Porovnání'!W768</f>
        <v>0</v>
      </c>
      <c r="X768" s="970"/>
      <c r="Y768" s="103">
        <f>'Kalkulace a Porovnání'!Y768</f>
        <v>2030</v>
      </c>
      <c r="Z768" s="103">
        <f>'Kalkulace a Porovnání'!Z768</f>
        <v>2030</v>
      </c>
      <c r="AA768" s="103">
        <f>'Kalkulace a Porovnání'!AA768</f>
        <v>2030</v>
      </c>
      <c r="AB768" s="103">
        <f>'Kalkulace a Porovnání'!AB768</f>
        <v>2030</v>
      </c>
      <c r="AC768" s="183"/>
      <c r="AD768" s="547"/>
      <c r="AG768" s="547"/>
      <c r="AH768" s="547"/>
      <c r="AI768" s="547"/>
      <c r="AJ768" s="547"/>
      <c r="AK768" s="547"/>
      <c r="AL768" s="183"/>
    </row>
    <row r="769" spans="1:38" x14ac:dyDescent="0.25">
      <c r="B769" s="500"/>
      <c r="C769" s="499"/>
      <c r="D769" s="499"/>
      <c r="E769" s="499"/>
      <c r="F769" s="499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T769" s="967"/>
      <c r="U769" s="967"/>
      <c r="V769" s="968"/>
      <c r="W769" s="919" t="s">
        <v>205</v>
      </c>
      <c r="X769" s="732"/>
      <c r="Y769" s="104" t="s">
        <v>208</v>
      </c>
      <c r="Z769" s="104" t="s">
        <v>208</v>
      </c>
      <c r="AA769" s="104" t="s">
        <v>209</v>
      </c>
      <c r="AB769" s="104" t="s">
        <v>209</v>
      </c>
      <c r="AC769" s="183"/>
      <c r="AD769" s="547"/>
      <c r="AG769" s="547"/>
      <c r="AH769" s="547"/>
      <c r="AI769" s="547"/>
      <c r="AJ769" s="547"/>
      <c r="AK769" s="547"/>
      <c r="AL769" s="183"/>
    </row>
    <row r="770" spans="1:38" x14ac:dyDescent="0.25">
      <c r="B770" s="499"/>
      <c r="C770" s="499"/>
      <c r="D770" s="499"/>
      <c r="E770" s="499"/>
      <c r="F770" s="499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T770" s="967"/>
      <c r="U770" s="967"/>
      <c r="V770" s="968"/>
      <c r="W770" s="971">
        <f>'Kalkulace a Porovnání'!W770</f>
        <v>0</v>
      </c>
      <c r="X770" s="971"/>
      <c r="Y770" s="449">
        <f>'Kalkulace a Porovnání'!Y770</f>
        <v>0</v>
      </c>
      <c r="Z770" s="449">
        <f>'Kalkulace a Porovnání'!Z770</f>
        <v>0</v>
      </c>
      <c r="AA770" s="449">
        <f>'Kalkulace a Porovnání'!AA770</f>
        <v>0</v>
      </c>
      <c r="AB770" s="449">
        <f>'Kalkulace a Porovnání'!AB770</f>
        <v>0</v>
      </c>
      <c r="AC770" s="183"/>
      <c r="AD770" s="547"/>
      <c r="AG770" s="547"/>
      <c r="AH770" s="547"/>
      <c r="AI770" s="547"/>
      <c r="AJ770" s="547"/>
      <c r="AK770" s="547"/>
      <c r="AL770" s="183"/>
    </row>
    <row r="771" spans="1:38" x14ac:dyDescent="0.25">
      <c r="A771" s="342"/>
      <c r="B771" s="342"/>
      <c r="C771" s="342"/>
      <c r="D771" s="342"/>
      <c r="E771" s="342"/>
      <c r="F771" s="342"/>
      <c r="G771" s="342"/>
      <c r="H771" s="342"/>
      <c r="I771" s="342"/>
      <c r="J771" s="342"/>
      <c r="K771" s="342"/>
      <c r="L771" s="342"/>
      <c r="M771" s="342"/>
      <c r="N771" s="342"/>
      <c r="O771" s="342"/>
      <c r="P771" s="342"/>
      <c r="Q771" s="342"/>
      <c r="R771" s="342"/>
      <c r="S771" s="342"/>
      <c r="T771" s="342"/>
      <c r="U771" s="342"/>
      <c r="V771" s="342"/>
      <c r="W771" s="342"/>
      <c r="X771" s="342"/>
      <c r="Y771" s="342"/>
      <c r="Z771" s="342"/>
      <c r="AA771" s="342"/>
      <c r="AB771" s="342"/>
      <c r="AC771" s="342"/>
      <c r="AD771" s="342"/>
      <c r="AG771" s="547"/>
      <c r="AH771" s="547"/>
      <c r="AI771" s="547"/>
      <c r="AJ771" s="547"/>
      <c r="AK771" s="547"/>
      <c r="AL771" s="183"/>
    </row>
    <row r="772" spans="1:38" x14ac:dyDescent="0.25">
      <c r="A772" s="342"/>
      <c r="B772" s="342"/>
      <c r="C772" s="342"/>
      <c r="D772" s="342"/>
      <c r="E772" s="342"/>
      <c r="F772" s="342"/>
      <c r="G772" s="342"/>
      <c r="H772" s="342"/>
      <c r="I772" s="342"/>
      <c r="J772" s="342"/>
      <c r="K772" s="342"/>
      <c r="L772" s="342"/>
      <c r="M772" s="342"/>
      <c r="N772" s="342"/>
      <c r="O772" s="342"/>
      <c r="P772" s="342"/>
      <c r="Q772" s="342"/>
      <c r="R772" s="342"/>
      <c r="S772" s="342"/>
      <c r="T772" s="342"/>
      <c r="U772" s="342"/>
      <c r="V772" s="342"/>
      <c r="W772" s="342"/>
      <c r="X772" s="342"/>
      <c r="Y772" s="342"/>
      <c r="Z772" s="342"/>
      <c r="AA772" s="342"/>
      <c r="AB772" s="342"/>
      <c r="AC772" s="342"/>
      <c r="AD772" s="342"/>
      <c r="AG772" s="547"/>
      <c r="AH772" s="547"/>
      <c r="AI772" s="547"/>
      <c r="AJ772" s="547"/>
      <c r="AK772" s="547"/>
      <c r="AL772" s="183"/>
    </row>
    <row r="773" spans="1:38" x14ac:dyDescent="0.25">
      <c r="A773" s="342"/>
      <c r="B773" s="342"/>
      <c r="C773" s="342"/>
      <c r="D773" s="342"/>
      <c r="E773" s="342"/>
      <c r="F773" s="342"/>
      <c r="G773" s="342"/>
      <c r="H773" s="342"/>
      <c r="I773" s="342"/>
      <c r="J773" s="342"/>
      <c r="K773" s="342"/>
      <c r="L773" s="342"/>
      <c r="M773" s="342"/>
      <c r="N773" s="342"/>
      <c r="O773" s="342"/>
      <c r="P773" s="342"/>
      <c r="Q773" s="342"/>
      <c r="R773" s="342"/>
      <c r="S773" s="342"/>
      <c r="T773" s="342"/>
      <c r="U773" s="342"/>
      <c r="V773" s="342"/>
      <c r="W773" s="342"/>
      <c r="X773" s="342"/>
      <c r="Y773" s="342"/>
      <c r="Z773" s="342"/>
      <c r="AA773" s="342"/>
      <c r="AB773" s="342"/>
      <c r="AC773" s="342"/>
      <c r="AD773" s="342"/>
      <c r="AG773" s="547"/>
      <c r="AH773" s="547"/>
      <c r="AI773" s="547"/>
      <c r="AJ773" s="547"/>
      <c r="AK773" s="547"/>
      <c r="AL773" s="183"/>
    </row>
    <row r="774" spans="1:38" x14ac:dyDescent="0.25">
      <c r="A774" s="342"/>
      <c r="B774" s="342"/>
      <c r="C774" s="342"/>
      <c r="D774" s="342"/>
      <c r="E774" s="342"/>
      <c r="F774" s="342"/>
      <c r="G774" s="342"/>
      <c r="H774" s="342"/>
      <c r="I774" s="342"/>
      <c r="J774" s="342"/>
      <c r="K774" s="342"/>
      <c r="L774" s="342"/>
      <c r="M774" s="342"/>
      <c r="N774" s="342"/>
      <c r="O774" s="342"/>
      <c r="P774" s="342"/>
      <c r="Q774" s="342"/>
      <c r="R774" s="342"/>
      <c r="S774" s="342"/>
      <c r="T774" s="342"/>
      <c r="U774" s="342"/>
      <c r="V774" s="342"/>
      <c r="W774" s="342"/>
      <c r="X774" s="342"/>
      <c r="Y774" s="342"/>
      <c r="Z774" s="342"/>
      <c r="AA774" s="342"/>
      <c r="AB774" s="342"/>
      <c r="AC774" s="342"/>
      <c r="AD774" s="342"/>
      <c r="AG774" s="547"/>
      <c r="AH774" s="547"/>
      <c r="AI774" s="547"/>
      <c r="AJ774" s="547"/>
      <c r="AK774" s="547"/>
      <c r="AL774" s="183"/>
    </row>
    <row r="775" spans="1:38" x14ac:dyDescent="0.25">
      <c r="A775" s="342"/>
      <c r="B775" s="342"/>
      <c r="C775" s="342"/>
      <c r="D775" s="342"/>
      <c r="E775" s="342"/>
      <c r="F775" s="342"/>
      <c r="G775" s="342"/>
      <c r="H775" s="342"/>
      <c r="I775" s="342"/>
      <c r="J775" s="342"/>
      <c r="K775" s="342"/>
      <c r="L775" s="342"/>
      <c r="M775" s="342"/>
      <c r="N775" s="342"/>
      <c r="O775" s="342"/>
      <c r="P775" s="342"/>
      <c r="Q775" s="342"/>
      <c r="R775" s="342"/>
      <c r="S775" s="342"/>
      <c r="T775" s="342"/>
      <c r="U775" s="342"/>
      <c r="V775" s="342"/>
      <c r="W775" s="342"/>
      <c r="X775" s="342"/>
      <c r="Y775" s="342"/>
      <c r="Z775" s="342"/>
      <c r="AA775" s="342"/>
      <c r="AB775" s="342"/>
      <c r="AC775" s="342"/>
      <c r="AD775" s="342"/>
      <c r="AG775" s="547"/>
      <c r="AH775" s="547"/>
      <c r="AI775" s="547"/>
      <c r="AJ775" s="547"/>
      <c r="AK775" s="547"/>
      <c r="AL775" s="183"/>
    </row>
    <row r="776" spans="1:38" x14ac:dyDescent="0.25">
      <c r="A776" s="342"/>
      <c r="B776" s="342"/>
      <c r="C776" s="342"/>
      <c r="D776" s="342"/>
      <c r="E776" s="342"/>
      <c r="F776" s="342"/>
      <c r="G776" s="342"/>
      <c r="H776" s="342"/>
      <c r="I776" s="342"/>
      <c r="J776" s="342"/>
      <c r="K776" s="342"/>
      <c r="L776" s="342"/>
      <c r="M776" s="342"/>
      <c r="N776" s="342"/>
      <c r="O776" s="342"/>
      <c r="P776" s="342"/>
      <c r="Q776" s="342"/>
      <c r="R776" s="342"/>
      <c r="S776" s="342"/>
      <c r="T776" s="342"/>
      <c r="U776" s="342"/>
      <c r="V776" s="342"/>
      <c r="W776" s="342"/>
      <c r="X776" s="342"/>
      <c r="Y776" s="342"/>
      <c r="Z776" s="342"/>
      <c r="AA776" s="342"/>
      <c r="AB776" s="342"/>
      <c r="AC776" s="342"/>
      <c r="AD776" s="342"/>
      <c r="AG776" s="547"/>
      <c r="AH776" s="547"/>
      <c r="AI776" s="547"/>
      <c r="AJ776" s="547"/>
      <c r="AK776" s="547"/>
      <c r="AL776" s="183"/>
    </row>
    <row r="777" spans="1:38" x14ac:dyDescent="0.25">
      <c r="A777" s="342"/>
      <c r="B777" s="342"/>
      <c r="C777" s="342"/>
      <c r="D777" s="342"/>
      <c r="E777" s="342"/>
      <c r="F777" s="342"/>
      <c r="G777" s="342"/>
      <c r="H777" s="342"/>
      <c r="I777" s="342"/>
      <c r="J777" s="342"/>
      <c r="K777" s="342"/>
      <c r="L777" s="342"/>
      <c r="M777" s="342"/>
      <c r="N777" s="342"/>
      <c r="O777" s="342"/>
      <c r="P777" s="342"/>
      <c r="Q777" s="342"/>
      <c r="R777" s="342"/>
      <c r="S777" s="342"/>
      <c r="T777" s="342"/>
      <c r="U777" s="342"/>
      <c r="V777" s="342"/>
      <c r="W777" s="342"/>
      <c r="X777" s="342"/>
      <c r="Y777" s="342"/>
      <c r="Z777" s="342"/>
      <c r="AA777" s="342"/>
      <c r="AB777" s="342"/>
      <c r="AC777" s="342"/>
      <c r="AD777" s="342"/>
      <c r="AG777" s="547"/>
      <c r="AH777" s="547"/>
      <c r="AI777" s="547"/>
      <c r="AJ777" s="547"/>
      <c r="AK777" s="547"/>
      <c r="AL777" s="183"/>
    </row>
    <row r="778" spans="1:38" x14ac:dyDescent="0.25">
      <c r="A778" s="342"/>
      <c r="B778" s="342"/>
      <c r="C778" s="342"/>
      <c r="D778" s="342"/>
      <c r="E778" s="342"/>
      <c r="F778" s="342"/>
      <c r="G778" s="342"/>
      <c r="H778" s="342"/>
      <c r="I778" s="342"/>
      <c r="J778" s="342"/>
      <c r="K778" s="342"/>
      <c r="L778" s="342"/>
      <c r="M778" s="342"/>
      <c r="N778" s="342"/>
      <c r="O778" s="342"/>
      <c r="P778" s="342"/>
      <c r="Q778" s="342"/>
      <c r="R778" s="342"/>
      <c r="S778" s="342"/>
      <c r="T778" s="342"/>
      <c r="U778" s="342"/>
      <c r="V778" s="342"/>
      <c r="W778" s="342"/>
      <c r="X778" s="342"/>
      <c r="Y778" s="342"/>
      <c r="Z778" s="342"/>
      <c r="AA778" s="342"/>
      <c r="AB778" s="342"/>
      <c r="AC778" s="342"/>
      <c r="AD778" s="342"/>
      <c r="AG778" s="547"/>
      <c r="AH778" s="547"/>
      <c r="AI778" s="547"/>
      <c r="AJ778" s="547"/>
      <c r="AK778" s="547"/>
      <c r="AL778" s="183"/>
    </row>
    <row r="779" spans="1:38" x14ac:dyDescent="0.25">
      <c r="A779" s="342"/>
      <c r="B779" s="342"/>
      <c r="C779" s="342"/>
      <c r="D779" s="342"/>
      <c r="E779" s="342"/>
      <c r="F779" s="342"/>
      <c r="G779" s="342"/>
      <c r="H779" s="342"/>
      <c r="I779" s="342"/>
      <c r="J779" s="342"/>
      <c r="K779" s="342"/>
      <c r="L779" s="342"/>
      <c r="M779" s="342"/>
      <c r="N779" s="342"/>
      <c r="O779" s="342"/>
      <c r="P779" s="342"/>
      <c r="Q779" s="342"/>
      <c r="R779" s="342"/>
      <c r="S779" s="342"/>
      <c r="T779" s="342"/>
      <c r="U779" s="342"/>
      <c r="V779" s="342"/>
      <c r="W779" s="342"/>
      <c r="X779" s="342"/>
      <c r="Y779" s="342"/>
      <c r="Z779" s="342"/>
      <c r="AA779" s="342"/>
      <c r="AB779" s="342"/>
      <c r="AC779" s="342"/>
      <c r="AD779" s="342"/>
      <c r="AE779" s="547"/>
      <c r="AF779" s="547"/>
      <c r="AG779" s="547"/>
      <c r="AH779" s="547"/>
      <c r="AI779" s="547"/>
      <c r="AJ779" s="547"/>
      <c r="AK779" s="547"/>
      <c r="AL779" s="183"/>
    </row>
    <row r="780" spans="1:38" x14ac:dyDescent="0.25">
      <c r="A780" s="342"/>
      <c r="B780" s="342"/>
      <c r="C780" s="342"/>
      <c r="D780" s="342"/>
      <c r="E780" s="342"/>
      <c r="F780" s="342"/>
      <c r="G780" s="342"/>
      <c r="H780" s="342"/>
      <c r="I780" s="342"/>
      <c r="J780" s="342"/>
      <c r="K780" s="342"/>
      <c r="L780" s="342"/>
      <c r="M780" s="342"/>
      <c r="N780" s="342"/>
      <c r="O780" s="342"/>
      <c r="P780" s="342"/>
      <c r="Q780" s="342"/>
      <c r="R780" s="342"/>
      <c r="S780" s="342"/>
      <c r="T780" s="342"/>
      <c r="U780" s="342"/>
      <c r="V780" s="342"/>
      <c r="W780" s="342"/>
      <c r="X780" s="342"/>
      <c r="Y780" s="342"/>
      <c r="Z780" s="342"/>
      <c r="AA780" s="342"/>
      <c r="AB780" s="342"/>
      <c r="AC780" s="342"/>
      <c r="AD780" s="342"/>
      <c r="AE780" s="547"/>
      <c r="AF780" s="547"/>
      <c r="AG780" s="547"/>
      <c r="AH780" s="547"/>
      <c r="AI780" s="547"/>
      <c r="AJ780" s="547"/>
      <c r="AK780" s="547"/>
      <c r="AL780" s="183"/>
    </row>
    <row r="781" spans="1:38" x14ac:dyDescent="0.25">
      <c r="A781" s="342"/>
      <c r="B781" s="342"/>
      <c r="C781" s="342"/>
      <c r="D781" s="342"/>
      <c r="E781" s="342"/>
      <c r="F781" s="342"/>
      <c r="G781" s="342"/>
      <c r="H781" s="342"/>
      <c r="I781" s="342"/>
      <c r="J781" s="342"/>
      <c r="K781" s="342"/>
      <c r="L781" s="342"/>
      <c r="M781" s="342"/>
      <c r="N781" s="342"/>
      <c r="O781" s="342"/>
      <c r="P781" s="342"/>
      <c r="Q781" s="342"/>
      <c r="R781" s="342"/>
      <c r="S781" s="342"/>
      <c r="T781" s="342"/>
      <c r="U781" s="342"/>
      <c r="V781" s="342"/>
      <c r="W781" s="342"/>
      <c r="X781" s="342"/>
      <c r="Y781" s="342"/>
      <c r="Z781" s="342"/>
      <c r="AA781" s="342"/>
      <c r="AB781" s="342"/>
      <c r="AC781" s="342"/>
      <c r="AD781" s="342"/>
      <c r="AE781" s="547"/>
      <c r="AF781" s="547"/>
      <c r="AG781" s="547"/>
      <c r="AH781" s="547"/>
      <c r="AI781" s="547"/>
      <c r="AJ781" s="547"/>
      <c r="AK781" s="547"/>
      <c r="AL781" s="183"/>
    </row>
    <row r="782" spans="1:38" x14ac:dyDescent="0.25">
      <c r="A782" s="342"/>
      <c r="B782" s="342"/>
      <c r="C782" s="342"/>
      <c r="D782" s="342"/>
      <c r="E782" s="342"/>
      <c r="F782" s="342"/>
      <c r="G782" s="342"/>
      <c r="H782" s="342"/>
      <c r="I782" s="342"/>
      <c r="J782" s="342"/>
      <c r="K782" s="342"/>
      <c r="L782" s="342"/>
      <c r="M782" s="342"/>
      <c r="N782" s="342"/>
      <c r="O782" s="342"/>
      <c r="P782" s="342"/>
      <c r="Q782" s="342"/>
      <c r="R782" s="342"/>
      <c r="S782" s="342"/>
      <c r="T782" s="342"/>
      <c r="U782" s="342"/>
      <c r="V782" s="342"/>
      <c r="W782" s="342"/>
      <c r="X782" s="342"/>
      <c r="Y782" s="342"/>
      <c r="Z782" s="342"/>
      <c r="AA782" s="342"/>
      <c r="AB782" s="342"/>
      <c r="AC782" s="342"/>
    </row>
    <row r="783" spans="1:38" x14ac:dyDescent="0.25">
      <c r="A783" s="342"/>
      <c r="B783" s="342"/>
      <c r="C783" s="342"/>
      <c r="D783" s="342"/>
      <c r="E783" s="342"/>
      <c r="F783" s="342"/>
      <c r="G783" s="342"/>
      <c r="H783" s="342"/>
      <c r="I783" s="342"/>
      <c r="J783" s="342"/>
      <c r="K783" s="342"/>
      <c r="L783" s="342"/>
      <c r="M783" s="342"/>
      <c r="N783" s="342"/>
      <c r="O783" s="342"/>
      <c r="P783" s="342"/>
      <c r="Q783" s="342"/>
      <c r="R783" s="342"/>
      <c r="S783" s="342"/>
      <c r="T783" s="342"/>
      <c r="U783" s="342"/>
      <c r="V783" s="342"/>
      <c r="W783" s="342"/>
      <c r="X783" s="342"/>
      <c r="Y783" s="342"/>
      <c r="Z783" s="342"/>
      <c r="AA783" s="342"/>
      <c r="AB783" s="342"/>
      <c r="AC783" s="342"/>
    </row>
    <row r="784" spans="1:38" x14ac:dyDescent="0.25">
      <c r="A784" s="342"/>
      <c r="B784" s="342"/>
      <c r="C784" s="342"/>
      <c r="D784" s="342"/>
      <c r="E784" s="342"/>
      <c r="F784" s="342"/>
      <c r="G784" s="342"/>
      <c r="H784" s="342"/>
      <c r="I784" s="342"/>
      <c r="J784" s="342"/>
      <c r="K784" s="342"/>
      <c r="L784" s="342"/>
      <c r="M784" s="342"/>
      <c r="N784" s="342"/>
      <c r="O784" s="342"/>
      <c r="P784" s="342"/>
      <c r="Q784" s="342"/>
      <c r="R784" s="342"/>
      <c r="S784" s="342"/>
      <c r="T784" s="342"/>
      <c r="U784" s="342"/>
      <c r="V784" s="342"/>
      <c r="W784" s="342"/>
      <c r="X784" s="342"/>
      <c r="Y784" s="342"/>
      <c r="Z784" s="342"/>
      <c r="AA784" s="342"/>
      <c r="AB784" s="342"/>
      <c r="AC784" s="342"/>
    </row>
    <row r="785" spans="1:29" x14ac:dyDescent="0.25">
      <c r="A785" s="342"/>
      <c r="B785" s="342"/>
      <c r="C785" s="342"/>
      <c r="D785" s="342"/>
      <c r="E785" s="342"/>
      <c r="F785" s="342"/>
      <c r="G785" s="342"/>
      <c r="H785" s="342"/>
      <c r="I785" s="342"/>
      <c r="J785" s="342"/>
      <c r="K785" s="342"/>
      <c r="L785" s="342"/>
      <c r="M785" s="342"/>
      <c r="N785" s="342"/>
      <c r="O785" s="342"/>
      <c r="P785" s="342"/>
      <c r="Q785" s="342"/>
      <c r="R785" s="342"/>
      <c r="S785" s="342"/>
      <c r="T785" s="342"/>
      <c r="U785" s="342"/>
      <c r="V785" s="342"/>
      <c r="W785" s="342"/>
      <c r="X785" s="342"/>
      <c r="Y785" s="342"/>
      <c r="Z785" s="342"/>
      <c r="AA785" s="342"/>
      <c r="AB785" s="342"/>
      <c r="AC785" s="342"/>
    </row>
    <row r="786" spans="1:29" x14ac:dyDescent="0.25">
      <c r="A786" s="342"/>
      <c r="B786" s="342"/>
      <c r="C786" s="342"/>
      <c r="D786" s="342"/>
      <c r="E786" s="342"/>
      <c r="F786" s="342"/>
      <c r="G786" s="342"/>
      <c r="H786" s="342"/>
      <c r="I786" s="342"/>
      <c r="J786" s="342"/>
      <c r="K786" s="342"/>
      <c r="L786" s="342"/>
      <c r="M786" s="342"/>
      <c r="N786" s="342"/>
      <c r="O786" s="342"/>
      <c r="P786" s="342"/>
      <c r="Q786" s="342"/>
      <c r="R786" s="342"/>
      <c r="S786" s="342"/>
      <c r="T786" s="342"/>
      <c r="U786" s="342"/>
      <c r="V786" s="342"/>
      <c r="W786" s="342"/>
      <c r="X786" s="342"/>
      <c r="Y786" s="342"/>
      <c r="Z786" s="342"/>
      <c r="AA786" s="342"/>
      <c r="AB786" s="342"/>
      <c r="AC786" s="342"/>
    </row>
    <row r="787" spans="1:29" x14ac:dyDescent="0.25">
      <c r="A787" s="342"/>
      <c r="B787" s="342"/>
      <c r="C787" s="342"/>
      <c r="D787" s="342"/>
      <c r="E787" s="342"/>
      <c r="F787" s="342"/>
      <c r="G787" s="342"/>
      <c r="H787" s="342"/>
      <c r="I787" s="342"/>
      <c r="J787" s="342"/>
      <c r="K787" s="342"/>
      <c r="L787" s="342"/>
      <c r="M787" s="342"/>
      <c r="N787" s="342"/>
      <c r="O787" s="342"/>
      <c r="P787" s="342"/>
      <c r="Q787" s="342"/>
      <c r="R787" s="342"/>
      <c r="S787" s="342"/>
      <c r="T787" s="342"/>
      <c r="U787" s="342"/>
      <c r="V787" s="342"/>
      <c r="W787" s="342"/>
      <c r="X787" s="342"/>
      <c r="Y787" s="342"/>
      <c r="Z787" s="342"/>
      <c r="AA787" s="342"/>
      <c r="AB787" s="342"/>
      <c r="AC787" s="342"/>
    </row>
    <row r="788" spans="1:29" x14ac:dyDescent="0.25">
      <c r="A788" s="342"/>
      <c r="B788" s="342"/>
      <c r="C788" s="342"/>
      <c r="D788" s="342"/>
      <c r="E788" s="342"/>
      <c r="F788" s="342"/>
      <c r="G788" s="342"/>
      <c r="H788" s="342"/>
      <c r="I788" s="342"/>
      <c r="J788" s="342"/>
      <c r="K788" s="342"/>
      <c r="L788" s="342"/>
      <c r="M788" s="342"/>
      <c r="N788" s="342"/>
      <c r="O788" s="342"/>
      <c r="P788" s="342"/>
      <c r="Q788" s="342"/>
      <c r="R788" s="342"/>
      <c r="S788" s="342"/>
      <c r="T788" s="342"/>
      <c r="U788" s="342"/>
      <c r="V788" s="342"/>
      <c r="W788" s="342"/>
      <c r="X788" s="342"/>
      <c r="Y788" s="342"/>
      <c r="Z788" s="342"/>
      <c r="AA788" s="342"/>
      <c r="AB788" s="342"/>
      <c r="AC788" s="342"/>
    </row>
    <row r="789" spans="1:29" x14ac:dyDescent="0.25">
      <c r="A789" s="342"/>
      <c r="B789" s="342"/>
      <c r="C789" s="342"/>
      <c r="D789" s="342"/>
      <c r="E789" s="342"/>
      <c r="F789" s="342"/>
      <c r="G789" s="342"/>
      <c r="H789" s="342"/>
      <c r="I789" s="342"/>
      <c r="J789" s="342"/>
      <c r="K789" s="342"/>
      <c r="L789" s="342"/>
      <c r="M789" s="342"/>
      <c r="N789" s="342"/>
      <c r="O789" s="342"/>
      <c r="P789" s="342"/>
      <c r="Q789" s="342"/>
      <c r="R789" s="342"/>
      <c r="S789" s="342"/>
      <c r="T789" s="342"/>
      <c r="U789" s="342"/>
      <c r="V789" s="342"/>
      <c r="W789" s="342"/>
      <c r="X789" s="342"/>
      <c r="Y789" s="342"/>
      <c r="Z789" s="342"/>
      <c r="AA789" s="342"/>
      <c r="AB789" s="342"/>
      <c r="AC789" s="342"/>
    </row>
    <row r="790" spans="1:29" x14ac:dyDescent="0.25">
      <c r="A790" s="342"/>
      <c r="B790" s="342"/>
      <c r="C790" s="342"/>
      <c r="D790" s="342"/>
      <c r="E790" s="342"/>
      <c r="F790" s="342"/>
      <c r="G790" s="342"/>
      <c r="H790" s="342"/>
      <c r="I790" s="342"/>
      <c r="J790" s="342"/>
      <c r="K790" s="342"/>
      <c r="L790" s="342"/>
      <c r="M790" s="342"/>
      <c r="N790" s="342"/>
      <c r="O790" s="342"/>
      <c r="P790" s="342"/>
      <c r="Q790" s="342"/>
      <c r="R790" s="342"/>
      <c r="S790" s="342"/>
      <c r="T790" s="342"/>
      <c r="U790" s="342"/>
      <c r="V790" s="342"/>
      <c r="W790" s="342"/>
      <c r="X790" s="342"/>
      <c r="Y790" s="342"/>
      <c r="Z790" s="342"/>
      <c r="AA790" s="342"/>
      <c r="AB790" s="342"/>
      <c r="AC790" s="342"/>
    </row>
    <row r="791" spans="1:29" x14ac:dyDescent="0.25">
      <c r="A791" s="342"/>
      <c r="B791" s="342"/>
      <c r="C791" s="342"/>
      <c r="D791" s="342"/>
      <c r="E791" s="342"/>
      <c r="F791" s="342"/>
      <c r="G791" s="342"/>
      <c r="H791" s="342"/>
      <c r="I791" s="342"/>
      <c r="J791" s="342"/>
      <c r="K791" s="342"/>
      <c r="L791" s="342"/>
      <c r="M791" s="342"/>
      <c r="N791" s="342"/>
      <c r="O791" s="342"/>
      <c r="P791" s="342"/>
      <c r="Q791" s="342"/>
      <c r="R791" s="342"/>
      <c r="S791" s="342"/>
      <c r="T791" s="342"/>
      <c r="U791" s="342"/>
      <c r="V791" s="342"/>
      <c r="W791" s="342"/>
      <c r="X791" s="342"/>
      <c r="Y791" s="342"/>
      <c r="Z791" s="342"/>
      <c r="AA791" s="342"/>
      <c r="AB791" s="342"/>
      <c r="AC791" s="342"/>
    </row>
    <row r="792" spans="1:29" x14ac:dyDescent="0.25">
      <c r="A792" s="342"/>
      <c r="B792" s="342"/>
      <c r="C792" s="342"/>
      <c r="D792" s="342"/>
      <c r="E792" s="342"/>
      <c r="F792" s="342"/>
      <c r="G792" s="342"/>
      <c r="H792" s="342"/>
      <c r="I792" s="342"/>
      <c r="J792" s="342"/>
      <c r="K792" s="342"/>
      <c r="L792" s="342"/>
      <c r="M792" s="342"/>
      <c r="N792" s="342"/>
      <c r="O792" s="342"/>
      <c r="P792" s="342"/>
      <c r="Q792" s="342"/>
      <c r="R792" s="342"/>
      <c r="S792" s="342"/>
      <c r="T792" s="342"/>
      <c r="U792" s="342"/>
      <c r="V792" s="342"/>
      <c r="W792" s="342"/>
      <c r="X792" s="342"/>
      <c r="Y792" s="342"/>
      <c r="Z792" s="342"/>
      <c r="AA792" s="342"/>
      <c r="AB792" s="342"/>
      <c r="AC792" s="342"/>
    </row>
    <row r="793" spans="1:29" x14ac:dyDescent="0.25">
      <c r="A793" s="342"/>
      <c r="B793" s="342"/>
      <c r="C793" s="342"/>
      <c r="D793" s="342"/>
      <c r="E793" s="342"/>
      <c r="F793" s="342"/>
      <c r="G793" s="342"/>
      <c r="H793" s="342"/>
      <c r="I793" s="342"/>
      <c r="J793" s="342"/>
      <c r="K793" s="342"/>
      <c r="L793" s="342"/>
      <c r="M793" s="342"/>
      <c r="N793" s="342"/>
      <c r="O793" s="342"/>
      <c r="P793" s="342"/>
      <c r="Q793" s="342"/>
      <c r="R793" s="342"/>
      <c r="S793" s="342"/>
      <c r="T793" s="342"/>
      <c r="U793" s="342"/>
      <c r="V793" s="342"/>
      <c r="W793" s="342"/>
      <c r="X793" s="342"/>
      <c r="Y793" s="342"/>
      <c r="Z793" s="342"/>
      <c r="AA793" s="342"/>
      <c r="AB793" s="342"/>
      <c r="AC793" s="342"/>
    </row>
    <row r="794" spans="1:29" x14ac:dyDescent="0.25">
      <c r="A794" s="342"/>
      <c r="B794" s="342"/>
      <c r="C794" s="342"/>
      <c r="D794" s="342"/>
      <c r="E794" s="342"/>
      <c r="F794" s="342"/>
      <c r="G794" s="342"/>
      <c r="H794" s="342"/>
      <c r="I794" s="342"/>
      <c r="J794" s="342"/>
      <c r="K794" s="342"/>
      <c r="L794" s="342"/>
      <c r="M794" s="342"/>
      <c r="N794" s="342"/>
      <c r="O794" s="342"/>
      <c r="P794" s="342"/>
      <c r="Q794" s="342"/>
      <c r="R794" s="342"/>
      <c r="S794" s="342"/>
      <c r="T794" s="342"/>
      <c r="U794" s="342"/>
      <c r="V794" s="342"/>
      <c r="W794" s="342"/>
      <c r="X794" s="342"/>
      <c r="Y794" s="342"/>
      <c r="Z794" s="342"/>
      <c r="AA794" s="342"/>
      <c r="AB794" s="342"/>
      <c r="AC794" s="342"/>
    </row>
    <row r="795" spans="1:29" x14ac:dyDescent="0.25">
      <c r="A795" s="342"/>
      <c r="B795" s="342"/>
      <c r="C795" s="342"/>
      <c r="D795" s="342"/>
      <c r="E795" s="342"/>
      <c r="F795" s="342"/>
      <c r="G795" s="342"/>
      <c r="H795" s="342"/>
      <c r="I795" s="342"/>
      <c r="J795" s="342"/>
      <c r="K795" s="342"/>
      <c r="L795" s="342"/>
      <c r="M795" s="342"/>
      <c r="N795" s="342"/>
      <c r="O795" s="342"/>
      <c r="P795" s="342"/>
      <c r="Q795" s="342"/>
      <c r="R795" s="342"/>
      <c r="S795" s="342"/>
      <c r="T795" s="342"/>
      <c r="U795" s="342"/>
      <c r="V795" s="342"/>
      <c r="W795" s="342"/>
      <c r="X795" s="342"/>
      <c r="Y795" s="342"/>
      <c r="Z795" s="342"/>
      <c r="AA795" s="342"/>
      <c r="AB795" s="342"/>
      <c r="AC795" s="342"/>
    </row>
    <row r="796" spans="1:29" x14ac:dyDescent="0.25">
      <c r="A796" s="342"/>
      <c r="B796" s="342"/>
      <c r="C796" s="342"/>
      <c r="D796" s="342"/>
      <c r="E796" s="342"/>
      <c r="F796" s="342"/>
      <c r="G796" s="342"/>
      <c r="H796" s="342"/>
      <c r="I796" s="342"/>
      <c r="J796" s="342"/>
      <c r="K796" s="342"/>
      <c r="L796" s="342"/>
      <c r="M796" s="342"/>
      <c r="N796" s="342"/>
      <c r="O796" s="342"/>
      <c r="P796" s="342"/>
      <c r="Q796" s="342"/>
      <c r="R796" s="342"/>
      <c r="S796" s="342"/>
      <c r="T796" s="342"/>
      <c r="U796" s="342"/>
      <c r="V796" s="342"/>
      <c r="W796" s="342"/>
      <c r="X796" s="342"/>
      <c r="Y796" s="342"/>
      <c r="Z796" s="342"/>
      <c r="AA796" s="342"/>
      <c r="AB796" s="342"/>
      <c r="AC796" s="342"/>
    </row>
    <row r="797" spans="1:29" x14ac:dyDescent="0.25">
      <c r="A797" s="342"/>
      <c r="B797" s="342"/>
      <c r="C797" s="342"/>
      <c r="D797" s="342"/>
      <c r="E797" s="342"/>
      <c r="F797" s="342"/>
      <c r="G797" s="342"/>
      <c r="H797" s="342"/>
      <c r="I797" s="342"/>
      <c r="J797" s="342"/>
      <c r="K797" s="342"/>
      <c r="L797" s="342"/>
      <c r="M797" s="342"/>
      <c r="N797" s="342"/>
      <c r="O797" s="342"/>
      <c r="P797" s="342"/>
      <c r="Q797" s="342"/>
      <c r="R797" s="342"/>
      <c r="S797" s="342"/>
      <c r="T797" s="342"/>
      <c r="U797" s="342"/>
      <c r="V797" s="342"/>
      <c r="W797" s="342"/>
      <c r="X797" s="342"/>
      <c r="Y797" s="342"/>
      <c r="Z797" s="342"/>
      <c r="AA797" s="342"/>
      <c r="AB797" s="342"/>
      <c r="AC797" s="342"/>
    </row>
    <row r="798" spans="1:29" x14ac:dyDescent="0.25">
      <c r="A798" s="342"/>
      <c r="B798" s="342"/>
      <c r="C798" s="342"/>
      <c r="D798" s="342"/>
      <c r="E798" s="342"/>
      <c r="F798" s="342"/>
      <c r="G798" s="342"/>
      <c r="H798" s="342"/>
      <c r="I798" s="342"/>
      <c r="J798" s="342"/>
      <c r="K798" s="342"/>
      <c r="L798" s="342"/>
      <c r="M798" s="342"/>
      <c r="N798" s="342"/>
      <c r="O798" s="342"/>
      <c r="P798" s="342"/>
      <c r="Q798" s="342"/>
      <c r="R798" s="342"/>
      <c r="S798" s="342"/>
      <c r="T798" s="342"/>
      <c r="U798" s="342"/>
      <c r="V798" s="342"/>
      <c r="W798" s="342"/>
      <c r="X798" s="342"/>
      <c r="Y798" s="342"/>
      <c r="Z798" s="342"/>
      <c r="AA798" s="342"/>
      <c r="AB798" s="342"/>
      <c r="AC798" s="342"/>
    </row>
    <row r="799" spans="1:29" x14ac:dyDescent="0.25">
      <c r="A799" s="342"/>
      <c r="B799" s="342"/>
      <c r="C799" s="342"/>
      <c r="D799" s="342"/>
      <c r="E799" s="342"/>
      <c r="F799" s="342"/>
      <c r="G799" s="342"/>
      <c r="H799" s="342"/>
      <c r="I799" s="342"/>
      <c r="J799" s="342"/>
      <c r="K799" s="342"/>
      <c r="L799" s="342"/>
      <c r="M799" s="342"/>
      <c r="N799" s="342"/>
      <c r="O799" s="342"/>
      <c r="P799" s="342"/>
      <c r="Q799" s="342"/>
      <c r="R799" s="342"/>
      <c r="S799" s="342"/>
      <c r="T799" s="342"/>
      <c r="U799" s="342"/>
      <c r="V799" s="342"/>
      <c r="W799" s="342"/>
      <c r="X799" s="342"/>
      <c r="Y799" s="342"/>
      <c r="Z799" s="342"/>
      <c r="AA799" s="342"/>
      <c r="AB799" s="342"/>
      <c r="AC799" s="342"/>
    </row>
    <row r="800" spans="1:29" x14ac:dyDescent="0.25">
      <c r="A800" s="342"/>
      <c r="B800" s="342"/>
      <c r="C800" s="342"/>
      <c r="D800" s="342"/>
      <c r="E800" s="342"/>
      <c r="F800" s="342"/>
      <c r="G800" s="342"/>
      <c r="H800" s="342"/>
      <c r="I800" s="342"/>
      <c r="J800" s="342"/>
      <c r="K800" s="342"/>
      <c r="L800" s="342"/>
      <c r="M800" s="342"/>
      <c r="N800" s="342"/>
      <c r="O800" s="342"/>
      <c r="P800" s="342"/>
      <c r="Q800" s="342"/>
      <c r="R800" s="342"/>
      <c r="S800" s="342"/>
      <c r="T800" s="342"/>
      <c r="U800" s="342"/>
      <c r="V800" s="342"/>
      <c r="W800" s="342"/>
      <c r="X800" s="342"/>
      <c r="Y800" s="342"/>
      <c r="Z800" s="342"/>
      <c r="AA800" s="342"/>
      <c r="AB800" s="342"/>
      <c r="AC800" s="342"/>
    </row>
    <row r="801" spans="1:29" x14ac:dyDescent="0.25">
      <c r="A801" s="342"/>
      <c r="B801" s="342"/>
      <c r="C801" s="342"/>
      <c r="D801" s="342"/>
      <c r="E801" s="342"/>
      <c r="F801" s="342"/>
      <c r="G801" s="342"/>
      <c r="H801" s="342"/>
      <c r="I801" s="342"/>
      <c r="J801" s="342"/>
      <c r="K801" s="342"/>
      <c r="L801" s="342"/>
      <c r="M801" s="342"/>
      <c r="N801" s="342"/>
      <c r="O801" s="342"/>
      <c r="P801" s="342"/>
      <c r="Q801" s="342"/>
      <c r="R801" s="342"/>
      <c r="S801" s="342"/>
      <c r="T801" s="342"/>
      <c r="U801" s="342"/>
      <c r="V801" s="342"/>
      <c r="W801" s="342"/>
      <c r="X801" s="342"/>
      <c r="Y801" s="342"/>
      <c r="Z801" s="342"/>
      <c r="AA801" s="342"/>
      <c r="AB801" s="342"/>
      <c r="AC801" s="342"/>
    </row>
    <row r="802" spans="1:29" x14ac:dyDescent="0.25">
      <c r="A802" s="342"/>
      <c r="B802" s="342"/>
      <c r="C802" s="342"/>
      <c r="D802" s="342"/>
      <c r="E802" s="342"/>
      <c r="F802" s="342"/>
      <c r="G802" s="342"/>
      <c r="H802" s="342"/>
      <c r="I802" s="342"/>
      <c r="J802" s="342"/>
      <c r="K802" s="342"/>
      <c r="L802" s="342"/>
      <c r="M802" s="342"/>
      <c r="N802" s="342"/>
      <c r="O802" s="342"/>
      <c r="P802" s="342"/>
      <c r="Q802" s="342"/>
      <c r="R802" s="342"/>
      <c r="S802" s="342"/>
      <c r="T802" s="342"/>
      <c r="U802" s="342"/>
      <c r="V802" s="342"/>
      <c r="W802" s="342"/>
      <c r="X802" s="342"/>
      <c r="Y802" s="342"/>
      <c r="Z802" s="342"/>
      <c r="AA802" s="342"/>
      <c r="AB802" s="342"/>
      <c r="AC802" s="342"/>
    </row>
    <row r="803" spans="1:29" x14ac:dyDescent="0.25">
      <c r="A803" s="342"/>
      <c r="B803" s="342"/>
      <c r="C803" s="342"/>
      <c r="D803" s="342"/>
      <c r="E803" s="342"/>
      <c r="F803" s="342"/>
      <c r="G803" s="342"/>
      <c r="H803" s="342"/>
      <c r="I803" s="342"/>
      <c r="J803" s="342"/>
      <c r="K803" s="342"/>
      <c r="L803" s="342"/>
      <c r="M803" s="342"/>
      <c r="N803" s="342"/>
      <c r="O803" s="342"/>
      <c r="P803" s="342"/>
      <c r="Q803" s="342"/>
      <c r="R803" s="342"/>
      <c r="S803" s="342"/>
      <c r="T803" s="342"/>
      <c r="U803" s="342"/>
      <c r="V803" s="342"/>
      <c r="W803" s="342"/>
      <c r="X803" s="342"/>
      <c r="Y803" s="342"/>
      <c r="Z803" s="342"/>
      <c r="AA803" s="342"/>
      <c r="AB803" s="342"/>
      <c r="AC803" s="342"/>
    </row>
    <row r="804" spans="1:29" x14ac:dyDescent="0.25">
      <c r="A804" s="342"/>
      <c r="B804" s="342"/>
      <c r="C804" s="342"/>
      <c r="D804" s="342"/>
      <c r="E804" s="342"/>
      <c r="F804" s="342"/>
      <c r="G804" s="342"/>
      <c r="H804" s="342"/>
      <c r="I804" s="342"/>
      <c r="J804" s="342"/>
      <c r="K804" s="342"/>
      <c r="L804" s="342"/>
      <c r="M804" s="342"/>
      <c r="N804" s="342"/>
      <c r="O804" s="342"/>
      <c r="P804" s="342"/>
      <c r="Q804" s="342"/>
      <c r="R804" s="342"/>
      <c r="S804" s="342"/>
      <c r="T804" s="342"/>
      <c r="U804" s="342"/>
      <c r="V804" s="342"/>
      <c r="W804" s="342"/>
      <c r="X804" s="342"/>
      <c r="Y804" s="342"/>
      <c r="Z804" s="342"/>
      <c r="AA804" s="342"/>
      <c r="AB804" s="342"/>
      <c r="AC804" s="342"/>
    </row>
    <row r="805" spans="1:29" x14ac:dyDescent="0.25">
      <c r="A805" s="342"/>
      <c r="B805" s="342"/>
      <c r="C805" s="342"/>
      <c r="D805" s="342"/>
      <c r="E805" s="342"/>
      <c r="F805" s="342"/>
      <c r="G805" s="342"/>
      <c r="H805" s="342"/>
      <c r="I805" s="342"/>
      <c r="J805" s="342"/>
      <c r="K805" s="342"/>
      <c r="L805" s="342"/>
      <c r="M805" s="342"/>
      <c r="N805" s="342"/>
      <c r="O805" s="342"/>
      <c r="P805" s="342"/>
      <c r="Q805" s="342"/>
      <c r="R805" s="342"/>
      <c r="S805" s="342"/>
      <c r="T805" s="342"/>
      <c r="U805" s="342"/>
      <c r="V805" s="342"/>
      <c r="W805" s="342"/>
      <c r="X805" s="342"/>
      <c r="Y805" s="342"/>
      <c r="Z805" s="342"/>
      <c r="AA805" s="342"/>
      <c r="AB805" s="342"/>
      <c r="AC805" s="342"/>
    </row>
    <row r="806" spans="1:29" x14ac:dyDescent="0.25">
      <c r="A806" s="342"/>
      <c r="B806" s="342"/>
      <c r="C806" s="342"/>
      <c r="D806" s="342"/>
      <c r="E806" s="342"/>
      <c r="F806" s="342"/>
      <c r="G806" s="342"/>
      <c r="H806" s="342"/>
      <c r="I806" s="342"/>
      <c r="J806" s="342"/>
      <c r="K806" s="342"/>
      <c r="L806" s="342"/>
      <c r="M806" s="342"/>
      <c r="N806" s="342"/>
      <c r="O806" s="342"/>
      <c r="P806" s="342"/>
      <c r="Q806" s="342"/>
      <c r="R806" s="342"/>
      <c r="S806" s="342"/>
      <c r="T806" s="342"/>
      <c r="U806" s="342"/>
      <c r="V806" s="342"/>
      <c r="W806" s="342"/>
      <c r="X806" s="342"/>
      <c r="Y806" s="342"/>
      <c r="Z806" s="342"/>
      <c r="AA806" s="342"/>
      <c r="AB806" s="342"/>
      <c r="AC806" s="342"/>
    </row>
    <row r="807" spans="1:29" x14ac:dyDescent="0.25">
      <c r="A807" s="342"/>
      <c r="B807" s="342"/>
      <c r="C807" s="342"/>
      <c r="D807" s="342"/>
      <c r="E807" s="342"/>
      <c r="F807" s="342"/>
      <c r="G807" s="342"/>
      <c r="H807" s="342"/>
      <c r="I807" s="342"/>
      <c r="J807" s="342"/>
      <c r="K807" s="342"/>
      <c r="L807" s="342"/>
      <c r="M807" s="342"/>
      <c r="N807" s="342"/>
      <c r="O807" s="342"/>
      <c r="P807" s="342"/>
      <c r="Q807" s="342"/>
      <c r="R807" s="342"/>
      <c r="S807" s="342"/>
      <c r="T807" s="342"/>
      <c r="U807" s="342"/>
      <c r="V807" s="342"/>
      <c r="W807" s="342"/>
      <c r="X807" s="342"/>
      <c r="Y807" s="342"/>
      <c r="Z807" s="342"/>
      <c r="AA807" s="342"/>
      <c r="AB807" s="342"/>
      <c r="AC807" s="342"/>
    </row>
    <row r="808" spans="1:29" x14ac:dyDescent="0.25">
      <c r="A808" s="342"/>
      <c r="B808" s="342"/>
      <c r="C808" s="342"/>
      <c r="D808" s="342"/>
      <c r="E808" s="342"/>
      <c r="F808" s="342"/>
      <c r="G808" s="342"/>
      <c r="H808" s="342"/>
      <c r="I808" s="342"/>
      <c r="J808" s="342"/>
      <c r="K808" s="342"/>
      <c r="L808" s="342"/>
      <c r="M808" s="342"/>
      <c r="N808" s="342"/>
      <c r="O808" s="342"/>
      <c r="P808" s="342"/>
      <c r="Q808" s="342"/>
      <c r="R808" s="342"/>
      <c r="S808" s="342"/>
      <c r="T808" s="342"/>
      <c r="U808" s="342"/>
      <c r="V808" s="342"/>
      <c r="W808" s="342"/>
      <c r="X808" s="342"/>
      <c r="Y808" s="342"/>
      <c r="Z808" s="342"/>
      <c r="AA808" s="342"/>
      <c r="AB808" s="342"/>
      <c r="AC808" s="342"/>
    </row>
    <row r="809" spans="1:29" x14ac:dyDescent="0.25">
      <c r="A809" s="342"/>
      <c r="B809" s="342"/>
      <c r="C809" s="342"/>
      <c r="D809" s="342"/>
      <c r="E809" s="342"/>
      <c r="F809" s="342"/>
      <c r="G809" s="342"/>
      <c r="H809" s="342"/>
      <c r="I809" s="342"/>
      <c r="J809" s="342"/>
      <c r="K809" s="342"/>
      <c r="L809" s="342"/>
      <c r="M809" s="342"/>
      <c r="N809" s="342"/>
      <c r="O809" s="342"/>
      <c r="P809" s="342"/>
      <c r="Q809" s="342"/>
      <c r="R809" s="342"/>
      <c r="S809" s="342"/>
      <c r="T809" s="342"/>
      <c r="U809" s="342"/>
      <c r="V809" s="342"/>
      <c r="W809" s="342"/>
      <c r="X809" s="342"/>
      <c r="Y809" s="342"/>
      <c r="Z809" s="342"/>
      <c r="AA809" s="342"/>
      <c r="AB809" s="342"/>
      <c r="AC809" s="342"/>
    </row>
    <row r="810" spans="1:29" x14ac:dyDescent="0.25">
      <c r="A810" s="342"/>
      <c r="B810" s="342"/>
      <c r="C810" s="342"/>
      <c r="D810" s="342"/>
      <c r="E810" s="342"/>
      <c r="F810" s="342"/>
      <c r="G810" s="342"/>
      <c r="H810" s="342"/>
      <c r="I810" s="342"/>
      <c r="J810" s="342"/>
      <c r="K810" s="342"/>
      <c r="L810" s="342"/>
      <c r="M810" s="342"/>
      <c r="N810" s="342"/>
      <c r="O810" s="342"/>
      <c r="P810" s="342"/>
      <c r="Q810" s="342"/>
      <c r="R810" s="342"/>
      <c r="S810" s="342"/>
      <c r="T810" s="342"/>
      <c r="U810" s="342"/>
      <c r="V810" s="342"/>
      <c r="W810" s="342"/>
      <c r="X810" s="342"/>
      <c r="Y810" s="342"/>
      <c r="Z810" s="342"/>
      <c r="AA810" s="342"/>
      <c r="AB810" s="342"/>
      <c r="AC810" s="342"/>
    </row>
    <row r="811" spans="1:29" x14ac:dyDescent="0.25">
      <c r="A811" s="342"/>
      <c r="B811" s="342"/>
      <c r="C811" s="342"/>
      <c r="D811" s="342"/>
      <c r="E811" s="342"/>
      <c r="F811" s="342"/>
      <c r="G811" s="342"/>
      <c r="H811" s="342"/>
      <c r="I811" s="342"/>
      <c r="J811" s="342"/>
      <c r="K811" s="342"/>
      <c r="L811" s="342"/>
      <c r="M811" s="342"/>
      <c r="N811" s="342"/>
      <c r="O811" s="342"/>
      <c r="P811" s="342"/>
      <c r="Q811" s="342"/>
      <c r="R811" s="342"/>
      <c r="S811" s="342"/>
      <c r="T811" s="342"/>
      <c r="U811" s="342"/>
      <c r="V811" s="342"/>
      <c r="W811" s="342"/>
      <c r="X811" s="342"/>
      <c r="Y811" s="342"/>
      <c r="Z811" s="342"/>
      <c r="AA811" s="342"/>
      <c r="AB811" s="342"/>
      <c r="AC811" s="342"/>
    </row>
    <row r="812" spans="1:29" x14ac:dyDescent="0.25">
      <c r="A812" s="342"/>
      <c r="B812" s="342"/>
      <c r="C812" s="342"/>
      <c r="D812" s="342"/>
      <c r="E812" s="342"/>
      <c r="F812" s="342"/>
      <c r="G812" s="342"/>
      <c r="H812" s="342"/>
      <c r="I812" s="342"/>
      <c r="J812" s="342"/>
      <c r="K812" s="342"/>
      <c r="L812" s="342"/>
      <c r="M812" s="342"/>
      <c r="N812" s="342"/>
      <c r="O812" s="342"/>
      <c r="P812" s="342"/>
      <c r="Q812" s="342"/>
      <c r="R812" s="342"/>
      <c r="S812" s="342"/>
      <c r="T812" s="342"/>
      <c r="U812" s="342"/>
      <c r="V812" s="342"/>
      <c r="W812" s="342"/>
      <c r="X812" s="342"/>
      <c r="Y812" s="342"/>
      <c r="Z812" s="342"/>
      <c r="AA812" s="342"/>
      <c r="AB812" s="342"/>
      <c r="AC812" s="342"/>
    </row>
    <row r="813" spans="1:29" x14ac:dyDescent="0.25">
      <c r="A813" s="342"/>
      <c r="B813" s="342"/>
      <c r="C813" s="342"/>
      <c r="D813" s="342"/>
      <c r="E813" s="342"/>
      <c r="F813" s="342"/>
      <c r="G813" s="342"/>
      <c r="H813" s="342"/>
      <c r="I813" s="342"/>
      <c r="J813" s="342"/>
      <c r="K813" s="342"/>
      <c r="L813" s="342"/>
      <c r="M813" s="342"/>
      <c r="N813" s="342"/>
      <c r="O813" s="342"/>
      <c r="P813" s="342"/>
      <c r="Q813" s="342"/>
      <c r="R813" s="342"/>
      <c r="S813" s="342"/>
      <c r="T813" s="342"/>
      <c r="U813" s="342"/>
      <c r="V813" s="342"/>
      <c r="W813" s="342"/>
      <c r="X813" s="342"/>
      <c r="Y813" s="342"/>
      <c r="Z813" s="342"/>
      <c r="AA813" s="342"/>
      <c r="AB813" s="342"/>
      <c r="AC813" s="342"/>
    </row>
    <row r="814" spans="1:29" x14ac:dyDescent="0.25">
      <c r="A814" s="342"/>
      <c r="B814" s="342"/>
      <c r="C814" s="342"/>
      <c r="D814" s="342"/>
      <c r="E814" s="342"/>
      <c r="F814" s="342"/>
      <c r="G814" s="342"/>
      <c r="H814" s="342"/>
      <c r="I814" s="342"/>
      <c r="J814" s="342"/>
      <c r="K814" s="342"/>
      <c r="L814" s="342"/>
      <c r="M814" s="342"/>
      <c r="N814" s="342"/>
      <c r="O814" s="342"/>
      <c r="P814" s="342"/>
      <c r="Q814" s="342"/>
      <c r="R814" s="342"/>
      <c r="S814" s="342"/>
      <c r="T814" s="342"/>
      <c r="U814" s="342"/>
      <c r="V814" s="342"/>
      <c r="W814" s="342"/>
      <c r="X814" s="342"/>
      <c r="Y814" s="342"/>
      <c r="Z814" s="342"/>
      <c r="AA814" s="342"/>
      <c r="AB814" s="342"/>
      <c r="AC814" s="342"/>
    </row>
    <row r="815" spans="1:29" x14ac:dyDescent="0.25">
      <c r="A815" s="342"/>
      <c r="B815" s="342"/>
      <c r="C815" s="342"/>
      <c r="D815" s="342"/>
      <c r="E815" s="342"/>
      <c r="F815" s="342"/>
      <c r="G815" s="342"/>
      <c r="H815" s="342"/>
      <c r="I815" s="342"/>
      <c r="J815" s="342"/>
      <c r="K815" s="342"/>
      <c r="L815" s="342"/>
      <c r="M815" s="342"/>
      <c r="N815" s="342"/>
      <c r="O815" s="342"/>
      <c r="P815" s="342"/>
      <c r="Q815" s="342"/>
      <c r="R815" s="342"/>
      <c r="S815" s="342"/>
      <c r="T815" s="342"/>
      <c r="U815" s="342"/>
      <c r="V815" s="342"/>
      <c r="W815" s="342"/>
      <c r="X815" s="342"/>
      <c r="Y815" s="342"/>
      <c r="Z815" s="342"/>
      <c r="AA815" s="342"/>
      <c r="AB815" s="342"/>
      <c r="AC815" s="342"/>
    </row>
    <row r="816" spans="1:29" x14ac:dyDescent="0.25">
      <c r="A816" s="342"/>
      <c r="B816" s="342"/>
      <c r="C816" s="342"/>
      <c r="D816" s="342"/>
      <c r="E816" s="342"/>
      <c r="F816" s="342"/>
      <c r="G816" s="342"/>
      <c r="H816" s="342"/>
      <c r="I816" s="342"/>
      <c r="J816" s="342"/>
      <c r="K816" s="342"/>
      <c r="L816" s="342"/>
      <c r="M816" s="342"/>
      <c r="N816" s="342"/>
      <c r="O816" s="342"/>
      <c r="P816" s="342"/>
      <c r="Q816" s="342"/>
      <c r="R816" s="342"/>
      <c r="S816" s="342"/>
      <c r="T816" s="342"/>
      <c r="U816" s="342"/>
      <c r="V816" s="342"/>
      <c r="W816" s="342"/>
      <c r="X816" s="342"/>
      <c r="Y816" s="342"/>
      <c r="Z816" s="342"/>
      <c r="AA816" s="342"/>
      <c r="AB816" s="342"/>
      <c r="AC816" s="342"/>
    </row>
    <row r="817" spans="1:29" x14ac:dyDescent="0.25">
      <c r="A817" s="342"/>
      <c r="B817" s="342"/>
      <c r="C817" s="342"/>
      <c r="D817" s="342"/>
      <c r="E817" s="342"/>
      <c r="F817" s="342"/>
      <c r="G817" s="342"/>
      <c r="H817" s="342"/>
      <c r="I817" s="342"/>
      <c r="J817" s="342"/>
      <c r="K817" s="342"/>
      <c r="L817" s="342"/>
      <c r="M817" s="342"/>
      <c r="N817" s="342"/>
      <c r="O817" s="342"/>
      <c r="P817" s="342"/>
      <c r="Q817" s="342"/>
      <c r="R817" s="342"/>
      <c r="S817" s="342"/>
      <c r="T817" s="342"/>
      <c r="U817" s="342"/>
      <c r="V817" s="342"/>
      <c r="W817" s="342"/>
      <c r="X817" s="342"/>
      <c r="Y817" s="342"/>
      <c r="Z817" s="342"/>
      <c r="AA817" s="342"/>
      <c r="AB817" s="342"/>
      <c r="AC817" s="342"/>
    </row>
    <row r="818" spans="1:29" x14ac:dyDescent="0.25">
      <c r="A818" s="342"/>
      <c r="B818" s="342"/>
      <c r="C818" s="342"/>
      <c r="D818" s="342"/>
      <c r="E818" s="342"/>
      <c r="F818" s="342"/>
      <c r="G818" s="342"/>
      <c r="H818" s="342"/>
      <c r="I818" s="342"/>
      <c r="J818" s="342"/>
      <c r="K818" s="342"/>
      <c r="L818" s="342"/>
      <c r="M818" s="342"/>
      <c r="N818" s="342"/>
      <c r="O818" s="342"/>
      <c r="P818" s="342"/>
      <c r="Q818" s="342"/>
      <c r="R818" s="342"/>
      <c r="S818" s="342"/>
      <c r="T818" s="342"/>
      <c r="U818" s="342"/>
      <c r="V818" s="342"/>
      <c r="W818" s="342"/>
      <c r="X818" s="342"/>
      <c r="Y818" s="342"/>
      <c r="Z818" s="342"/>
      <c r="AA818" s="342"/>
      <c r="AB818" s="342"/>
      <c r="AC818" s="342"/>
    </row>
    <row r="819" spans="1:29" x14ac:dyDescent="0.25">
      <c r="A819" s="342"/>
      <c r="B819" s="342"/>
      <c r="C819" s="342"/>
      <c r="D819" s="342"/>
      <c r="E819" s="342"/>
      <c r="F819" s="342"/>
      <c r="G819" s="342"/>
      <c r="H819" s="342"/>
      <c r="I819" s="342"/>
      <c r="J819" s="342"/>
      <c r="K819" s="342"/>
      <c r="L819" s="342"/>
      <c r="M819" s="342"/>
      <c r="N819" s="342"/>
      <c r="O819" s="342"/>
      <c r="P819" s="342"/>
      <c r="Q819" s="342"/>
      <c r="R819" s="342"/>
      <c r="S819" s="342"/>
      <c r="T819" s="342"/>
      <c r="U819" s="342"/>
      <c r="V819" s="342"/>
      <c r="W819" s="342"/>
      <c r="X819" s="342"/>
      <c r="Y819" s="342"/>
      <c r="Z819" s="342"/>
      <c r="AA819" s="342"/>
      <c r="AB819" s="342"/>
      <c r="AC819" s="342"/>
    </row>
    <row r="820" spans="1:29" x14ac:dyDescent="0.25">
      <c r="A820" s="342"/>
      <c r="B820" s="342"/>
      <c r="C820" s="342"/>
      <c r="D820" s="342"/>
      <c r="E820" s="342"/>
      <c r="F820" s="342"/>
      <c r="G820" s="342"/>
      <c r="H820" s="342"/>
      <c r="I820" s="342"/>
      <c r="J820" s="342"/>
      <c r="K820" s="342"/>
      <c r="L820" s="342"/>
      <c r="M820" s="342"/>
      <c r="N820" s="342"/>
      <c r="O820" s="342"/>
      <c r="P820" s="342"/>
      <c r="Q820" s="342"/>
      <c r="R820" s="342"/>
      <c r="S820" s="342"/>
      <c r="T820" s="342"/>
      <c r="U820" s="342"/>
      <c r="V820" s="342"/>
      <c r="W820" s="342"/>
      <c r="X820" s="342"/>
      <c r="Y820" s="342"/>
      <c r="Z820" s="342"/>
      <c r="AA820" s="342"/>
      <c r="AB820" s="342"/>
      <c r="AC820" s="342"/>
    </row>
    <row r="821" spans="1:29" x14ac:dyDescent="0.25">
      <c r="A821" s="342"/>
      <c r="B821" s="342"/>
      <c r="C821" s="342"/>
      <c r="D821" s="342"/>
      <c r="E821" s="342"/>
      <c r="F821" s="342"/>
      <c r="G821" s="342"/>
      <c r="H821" s="342"/>
      <c r="I821" s="342"/>
      <c r="J821" s="342"/>
      <c r="K821" s="342"/>
      <c r="L821" s="342"/>
      <c r="M821" s="342"/>
      <c r="N821" s="342"/>
      <c r="O821" s="342"/>
      <c r="P821" s="342"/>
      <c r="Q821" s="342"/>
      <c r="R821" s="342"/>
      <c r="S821" s="342"/>
      <c r="T821" s="342"/>
      <c r="U821" s="342"/>
      <c r="V821" s="342"/>
      <c r="W821" s="342"/>
      <c r="X821" s="342"/>
      <c r="Y821" s="342"/>
      <c r="Z821" s="342"/>
      <c r="AA821" s="342"/>
      <c r="AB821" s="342"/>
      <c r="AC821" s="342"/>
    </row>
    <row r="822" spans="1:29" x14ac:dyDescent="0.25">
      <c r="A822" s="342"/>
      <c r="B822" s="342"/>
      <c r="C822" s="342"/>
      <c r="D822" s="342"/>
      <c r="E822" s="342"/>
      <c r="F822" s="342"/>
      <c r="G822" s="342"/>
      <c r="H822" s="342"/>
      <c r="I822" s="342"/>
      <c r="J822" s="342"/>
      <c r="K822" s="342"/>
      <c r="L822" s="342"/>
      <c r="M822" s="342"/>
      <c r="N822" s="342"/>
      <c r="O822" s="342"/>
      <c r="P822" s="342"/>
      <c r="Q822" s="342"/>
      <c r="R822" s="342"/>
      <c r="S822" s="342"/>
      <c r="T822" s="342"/>
      <c r="U822" s="342"/>
      <c r="V822" s="342"/>
      <c r="W822" s="342"/>
      <c r="X822" s="342"/>
      <c r="Y822" s="342"/>
      <c r="Z822" s="342"/>
      <c r="AA822" s="342"/>
      <c r="AB822" s="342"/>
      <c r="AC822" s="342"/>
    </row>
    <row r="823" spans="1:29" x14ac:dyDescent="0.25">
      <c r="A823" s="342"/>
      <c r="B823" s="342"/>
      <c r="C823" s="342"/>
      <c r="D823" s="342"/>
      <c r="E823" s="342"/>
      <c r="F823" s="342"/>
      <c r="G823" s="342"/>
      <c r="H823" s="342"/>
      <c r="I823" s="342"/>
      <c r="J823" s="342"/>
      <c r="K823" s="342"/>
      <c r="L823" s="342"/>
      <c r="M823" s="342"/>
      <c r="N823" s="342"/>
      <c r="O823" s="342"/>
      <c r="P823" s="342"/>
      <c r="Q823" s="342"/>
      <c r="R823" s="342"/>
      <c r="S823" s="342"/>
      <c r="T823" s="342"/>
      <c r="U823" s="342"/>
      <c r="V823" s="342"/>
      <c r="W823" s="342"/>
      <c r="X823" s="342"/>
      <c r="Y823" s="342"/>
      <c r="Z823" s="342"/>
      <c r="AA823" s="342"/>
      <c r="AB823" s="342"/>
      <c r="AC823" s="342"/>
    </row>
    <row r="824" spans="1:29" x14ac:dyDescent="0.25">
      <c r="A824" s="342"/>
      <c r="B824" s="342"/>
      <c r="C824" s="342"/>
      <c r="D824" s="342"/>
      <c r="E824" s="342"/>
      <c r="F824" s="342"/>
      <c r="G824" s="342"/>
      <c r="H824" s="342"/>
      <c r="I824" s="342"/>
      <c r="J824" s="342"/>
      <c r="K824" s="342"/>
      <c r="L824" s="342"/>
      <c r="M824" s="342"/>
      <c r="N824" s="342"/>
      <c r="O824" s="342"/>
      <c r="P824" s="342"/>
      <c r="Q824" s="342"/>
      <c r="R824" s="342"/>
      <c r="S824" s="342"/>
      <c r="T824" s="342"/>
      <c r="U824" s="342"/>
      <c r="V824" s="342"/>
      <c r="W824" s="342"/>
      <c r="X824" s="342"/>
      <c r="Y824" s="342"/>
      <c r="Z824" s="342"/>
      <c r="AA824" s="342"/>
      <c r="AB824" s="342"/>
      <c r="AC824" s="342"/>
    </row>
    <row r="825" spans="1:29" x14ac:dyDescent="0.25">
      <c r="A825" s="342"/>
      <c r="B825" s="342"/>
      <c r="C825" s="342"/>
      <c r="D825" s="342"/>
      <c r="E825" s="342"/>
      <c r="F825" s="342"/>
      <c r="G825" s="342"/>
      <c r="H825" s="342"/>
      <c r="I825" s="342"/>
      <c r="J825" s="342"/>
      <c r="K825" s="342"/>
      <c r="L825" s="342"/>
      <c r="M825" s="342"/>
      <c r="N825" s="342"/>
      <c r="O825" s="342"/>
      <c r="P825" s="342"/>
      <c r="Q825" s="342"/>
      <c r="R825" s="342"/>
      <c r="S825" s="342"/>
      <c r="T825" s="342"/>
      <c r="U825" s="342"/>
      <c r="V825" s="342"/>
      <c r="W825" s="342"/>
      <c r="X825" s="342"/>
      <c r="Y825" s="342"/>
      <c r="Z825" s="342"/>
      <c r="AA825" s="342"/>
      <c r="AB825" s="342"/>
      <c r="AC825" s="342"/>
    </row>
    <row r="826" spans="1:29" x14ac:dyDescent="0.25">
      <c r="A826" s="342"/>
      <c r="B826" s="342"/>
      <c r="C826" s="342"/>
      <c r="D826" s="342"/>
      <c r="E826" s="342"/>
      <c r="F826" s="342"/>
      <c r="G826" s="342"/>
      <c r="H826" s="342"/>
      <c r="I826" s="342"/>
      <c r="J826" s="342"/>
      <c r="K826" s="342"/>
      <c r="L826" s="342"/>
      <c r="M826" s="342"/>
      <c r="N826" s="342"/>
      <c r="O826" s="342"/>
      <c r="P826" s="342"/>
      <c r="Q826" s="342"/>
      <c r="R826" s="342"/>
      <c r="S826" s="342"/>
      <c r="T826" s="342"/>
      <c r="U826" s="342"/>
      <c r="V826" s="342"/>
      <c r="W826" s="342"/>
      <c r="X826" s="342"/>
      <c r="Y826" s="342"/>
      <c r="Z826" s="342"/>
      <c r="AA826" s="342"/>
      <c r="AB826" s="342"/>
      <c r="AC826" s="342"/>
    </row>
    <row r="827" spans="1:29" x14ac:dyDescent="0.25">
      <c r="A827" s="342"/>
      <c r="B827" s="342"/>
      <c r="C827" s="342"/>
      <c r="D827" s="342"/>
      <c r="E827" s="342"/>
      <c r="F827" s="342"/>
      <c r="G827" s="342"/>
      <c r="H827" s="342"/>
      <c r="I827" s="342"/>
      <c r="J827" s="342"/>
      <c r="K827" s="342"/>
      <c r="L827" s="342"/>
      <c r="M827" s="342"/>
      <c r="N827" s="342"/>
      <c r="O827" s="342"/>
      <c r="P827" s="342"/>
      <c r="Q827" s="342"/>
      <c r="R827" s="342"/>
      <c r="S827" s="342"/>
      <c r="T827" s="342"/>
      <c r="U827" s="342"/>
      <c r="V827" s="342"/>
      <c r="W827" s="342"/>
      <c r="X827" s="342"/>
      <c r="Y827" s="342"/>
      <c r="Z827" s="342"/>
      <c r="AA827" s="342"/>
      <c r="AB827" s="342"/>
      <c r="AC827" s="342"/>
    </row>
    <row r="828" spans="1:29" x14ac:dyDescent="0.25">
      <c r="A828" s="342"/>
      <c r="B828" s="342"/>
      <c r="C828" s="342"/>
      <c r="D828" s="342"/>
      <c r="E828" s="342"/>
      <c r="F828" s="342"/>
      <c r="G828" s="342"/>
      <c r="H828" s="342"/>
      <c r="I828" s="342"/>
      <c r="J828" s="342"/>
      <c r="K828" s="342"/>
      <c r="L828" s="342"/>
      <c r="M828" s="342"/>
      <c r="N828" s="342"/>
      <c r="O828" s="342"/>
      <c r="P828" s="342"/>
      <c r="Q828" s="342"/>
      <c r="R828" s="342"/>
      <c r="S828" s="342"/>
      <c r="T828" s="342"/>
      <c r="U828" s="342"/>
      <c r="V828" s="342"/>
      <c r="W828" s="342"/>
      <c r="X828" s="342"/>
      <c r="Y828" s="342"/>
      <c r="Z828" s="342"/>
      <c r="AA828" s="342"/>
      <c r="AB828" s="342"/>
      <c r="AC828" s="342"/>
    </row>
    <row r="829" spans="1:29" x14ac:dyDescent="0.25">
      <c r="A829" s="342"/>
      <c r="B829" s="342"/>
      <c r="C829" s="342"/>
      <c r="D829" s="342"/>
      <c r="E829" s="342"/>
      <c r="F829" s="342"/>
      <c r="G829" s="342"/>
      <c r="H829" s="342"/>
      <c r="I829" s="342"/>
      <c r="J829" s="342"/>
      <c r="K829" s="342"/>
      <c r="L829" s="342"/>
      <c r="M829" s="342"/>
      <c r="N829" s="342"/>
      <c r="O829" s="342"/>
      <c r="P829" s="342"/>
      <c r="Q829" s="342"/>
      <c r="R829" s="342"/>
      <c r="S829" s="342"/>
      <c r="T829" s="342"/>
      <c r="U829" s="342"/>
      <c r="V829" s="342"/>
      <c r="W829" s="342"/>
      <c r="X829" s="342"/>
      <c r="Y829" s="342"/>
      <c r="Z829" s="342"/>
      <c r="AA829" s="342"/>
      <c r="AB829" s="342"/>
      <c r="AC829" s="342"/>
    </row>
    <row r="830" spans="1:29" x14ac:dyDescent="0.25">
      <c r="A830" s="342"/>
      <c r="B830" s="342"/>
      <c r="C830" s="342"/>
      <c r="D830" s="342"/>
      <c r="E830" s="342"/>
      <c r="F830" s="342"/>
      <c r="G830" s="342"/>
      <c r="H830" s="342"/>
      <c r="I830" s="342"/>
      <c r="J830" s="342"/>
      <c r="K830" s="342"/>
      <c r="L830" s="342"/>
      <c r="M830" s="342"/>
      <c r="N830" s="342"/>
      <c r="O830" s="342"/>
      <c r="P830" s="342"/>
      <c r="Q830" s="342"/>
      <c r="R830" s="342"/>
      <c r="S830" s="342"/>
      <c r="T830" s="342"/>
      <c r="U830" s="342"/>
      <c r="V830" s="342"/>
      <c r="W830" s="342"/>
      <c r="X830" s="342"/>
      <c r="Y830" s="342"/>
      <c r="Z830" s="342"/>
      <c r="AA830" s="342"/>
      <c r="AB830" s="342"/>
      <c r="AC830" s="342"/>
    </row>
    <row r="831" spans="1:29" x14ac:dyDescent="0.25">
      <c r="A831" s="342"/>
      <c r="B831" s="342"/>
      <c r="C831" s="342"/>
      <c r="D831" s="342"/>
      <c r="E831" s="342"/>
      <c r="F831" s="342"/>
      <c r="G831" s="342"/>
      <c r="H831" s="342"/>
      <c r="I831" s="342"/>
      <c r="J831" s="342"/>
      <c r="K831" s="342"/>
      <c r="L831" s="342"/>
      <c r="M831" s="342"/>
      <c r="N831" s="342"/>
      <c r="O831" s="342"/>
      <c r="P831" s="342"/>
      <c r="Q831" s="342"/>
      <c r="R831" s="342"/>
      <c r="S831" s="342"/>
      <c r="T831" s="342"/>
      <c r="U831" s="342"/>
      <c r="V831" s="342"/>
      <c r="W831" s="342"/>
      <c r="X831" s="342"/>
      <c r="Y831" s="342"/>
      <c r="Z831" s="342"/>
      <c r="AA831" s="342"/>
      <c r="AB831" s="342"/>
      <c r="AC831" s="342"/>
    </row>
    <row r="832" spans="1:29" x14ac:dyDescent="0.25">
      <c r="A832" s="342"/>
      <c r="B832" s="342"/>
      <c r="C832" s="342"/>
      <c r="D832" s="342"/>
      <c r="E832" s="342"/>
      <c r="F832" s="342"/>
      <c r="G832" s="342"/>
      <c r="H832" s="342"/>
      <c r="I832" s="342"/>
      <c r="J832" s="342"/>
      <c r="K832" s="342"/>
      <c r="L832" s="342"/>
      <c r="M832" s="342"/>
      <c r="N832" s="342"/>
      <c r="O832" s="342"/>
      <c r="P832" s="342"/>
      <c r="Q832" s="342"/>
      <c r="R832" s="342"/>
      <c r="S832" s="342"/>
      <c r="T832" s="342"/>
      <c r="U832" s="342"/>
      <c r="V832" s="342"/>
      <c r="W832" s="342"/>
      <c r="X832" s="342"/>
      <c r="Y832" s="342"/>
      <c r="Z832" s="342"/>
      <c r="AA832" s="342"/>
      <c r="AB832" s="342"/>
      <c r="AC832" s="342"/>
    </row>
    <row r="833" spans="1:29" x14ac:dyDescent="0.25">
      <c r="A833" s="342"/>
      <c r="B833" s="342"/>
      <c r="C833" s="342"/>
      <c r="D833" s="342"/>
      <c r="E833" s="342"/>
      <c r="F833" s="342"/>
      <c r="G833" s="342"/>
      <c r="H833" s="342"/>
      <c r="I833" s="342"/>
      <c r="J833" s="342"/>
      <c r="K833" s="342"/>
      <c r="L833" s="342"/>
      <c r="M833" s="342"/>
      <c r="N833" s="342"/>
      <c r="O833" s="342"/>
      <c r="P833" s="342"/>
      <c r="Q833" s="342"/>
      <c r="R833" s="342"/>
      <c r="S833" s="342"/>
      <c r="T833" s="342"/>
      <c r="U833" s="342"/>
      <c r="V833" s="342"/>
      <c r="W833" s="342"/>
      <c r="X833" s="342"/>
      <c r="Y833" s="342"/>
      <c r="Z833" s="342"/>
      <c r="AA833" s="342"/>
      <c r="AB833" s="342"/>
      <c r="AC833" s="342"/>
    </row>
    <row r="834" spans="1:29" x14ac:dyDescent="0.25">
      <c r="A834" s="342"/>
      <c r="B834" s="342"/>
      <c r="C834" s="342"/>
      <c r="D834" s="342"/>
      <c r="E834" s="342"/>
      <c r="F834" s="342"/>
      <c r="G834" s="342"/>
      <c r="H834" s="342"/>
      <c r="I834" s="342"/>
      <c r="J834" s="342"/>
      <c r="K834" s="342"/>
      <c r="L834" s="342"/>
      <c r="M834" s="342"/>
      <c r="N834" s="342"/>
      <c r="O834" s="342"/>
      <c r="P834" s="342"/>
      <c r="Q834" s="342"/>
      <c r="R834" s="342"/>
      <c r="S834" s="342"/>
      <c r="T834" s="342"/>
      <c r="U834" s="342"/>
      <c r="V834" s="342"/>
      <c r="W834" s="342"/>
      <c r="X834" s="342"/>
      <c r="Y834" s="342"/>
      <c r="Z834" s="342"/>
      <c r="AA834" s="342"/>
      <c r="AB834" s="342"/>
      <c r="AC834" s="342"/>
    </row>
    <row r="835" spans="1:29" x14ac:dyDescent="0.25">
      <c r="A835" s="342"/>
      <c r="B835" s="342"/>
      <c r="C835" s="342"/>
      <c r="D835" s="342"/>
      <c r="E835" s="342"/>
      <c r="F835" s="342"/>
      <c r="G835" s="342"/>
      <c r="H835" s="342"/>
      <c r="I835" s="342"/>
      <c r="J835" s="342"/>
      <c r="K835" s="342"/>
      <c r="L835" s="342"/>
      <c r="M835" s="342"/>
      <c r="N835" s="342"/>
      <c r="O835" s="342"/>
      <c r="P835" s="342"/>
      <c r="Q835" s="342"/>
      <c r="R835" s="342"/>
      <c r="S835" s="342"/>
      <c r="T835" s="342"/>
      <c r="U835" s="342"/>
      <c r="V835" s="342"/>
      <c r="W835" s="342"/>
      <c r="X835" s="342"/>
      <c r="Y835" s="342"/>
      <c r="Z835" s="342"/>
      <c r="AA835" s="342"/>
      <c r="AB835" s="342"/>
      <c r="AC835" s="342"/>
    </row>
    <row r="836" spans="1:29" x14ac:dyDescent="0.25">
      <c r="A836" s="342"/>
      <c r="B836" s="342"/>
      <c r="C836" s="342"/>
      <c r="D836" s="342"/>
      <c r="E836" s="342"/>
      <c r="F836" s="342"/>
      <c r="G836" s="342"/>
      <c r="H836" s="342"/>
      <c r="I836" s="342"/>
      <c r="J836" s="342"/>
      <c r="K836" s="342"/>
      <c r="L836" s="342"/>
      <c r="M836" s="342"/>
      <c r="N836" s="342"/>
      <c r="O836" s="342"/>
      <c r="P836" s="342"/>
      <c r="Q836" s="342"/>
      <c r="R836" s="342"/>
      <c r="S836" s="342"/>
      <c r="T836" s="342"/>
      <c r="U836" s="342"/>
      <c r="V836" s="342"/>
      <c r="W836" s="342"/>
      <c r="X836" s="342"/>
      <c r="Y836" s="342"/>
      <c r="Z836" s="342"/>
      <c r="AA836" s="342"/>
      <c r="AB836" s="342"/>
      <c r="AC836" s="342"/>
    </row>
    <row r="837" spans="1:29" x14ac:dyDescent="0.25">
      <c r="A837" s="342"/>
      <c r="B837" s="342"/>
      <c r="C837" s="342"/>
      <c r="D837" s="342"/>
      <c r="E837" s="342"/>
      <c r="F837" s="342"/>
      <c r="G837" s="342"/>
      <c r="H837" s="342"/>
      <c r="I837" s="342"/>
      <c r="J837" s="342"/>
      <c r="K837" s="342"/>
      <c r="L837" s="342"/>
      <c r="M837" s="342"/>
      <c r="N837" s="342"/>
      <c r="O837" s="342"/>
      <c r="P837" s="342"/>
      <c r="Q837" s="342"/>
      <c r="R837" s="342"/>
      <c r="S837" s="342"/>
      <c r="T837" s="342"/>
      <c r="U837" s="342"/>
      <c r="V837" s="342"/>
      <c r="W837" s="342"/>
      <c r="X837" s="342"/>
      <c r="Y837" s="342"/>
      <c r="Z837" s="342"/>
      <c r="AA837" s="342"/>
      <c r="AB837" s="342"/>
      <c r="AC837" s="342"/>
    </row>
    <row r="838" spans="1:29" x14ac:dyDescent="0.25">
      <c r="A838" s="342"/>
      <c r="B838" s="342"/>
      <c r="C838" s="342"/>
      <c r="D838" s="342"/>
      <c r="E838" s="342"/>
      <c r="F838" s="342"/>
      <c r="G838" s="342"/>
      <c r="H838" s="342"/>
      <c r="I838" s="342"/>
      <c r="J838" s="342"/>
      <c r="K838" s="342"/>
      <c r="L838" s="342"/>
      <c r="M838" s="342"/>
      <c r="N838" s="342"/>
      <c r="O838" s="342"/>
      <c r="P838" s="342"/>
      <c r="Q838" s="342"/>
      <c r="R838" s="342"/>
      <c r="S838" s="342"/>
      <c r="T838" s="342"/>
      <c r="U838" s="342"/>
      <c r="V838" s="342"/>
      <c r="W838" s="342"/>
      <c r="X838" s="342"/>
      <c r="Y838" s="342"/>
      <c r="Z838" s="342"/>
      <c r="AA838" s="342"/>
      <c r="AB838" s="342"/>
      <c r="AC838" s="342"/>
    </row>
    <row r="839" spans="1:29" x14ac:dyDescent="0.25">
      <c r="A839" s="342"/>
      <c r="B839" s="342"/>
      <c r="C839" s="342"/>
      <c r="D839" s="342"/>
      <c r="E839" s="342"/>
      <c r="F839" s="342"/>
      <c r="G839" s="342"/>
      <c r="H839" s="342"/>
      <c r="I839" s="342"/>
      <c r="J839" s="342"/>
      <c r="K839" s="342"/>
      <c r="L839" s="342"/>
      <c r="M839" s="342"/>
      <c r="N839" s="342"/>
      <c r="O839" s="342"/>
      <c r="P839" s="342"/>
      <c r="Q839" s="342"/>
      <c r="R839" s="342"/>
      <c r="S839" s="342"/>
      <c r="T839" s="342"/>
      <c r="U839" s="342"/>
      <c r="V839" s="342"/>
      <c r="W839" s="342"/>
      <c r="X839" s="342"/>
      <c r="Y839" s="342"/>
      <c r="Z839" s="342"/>
      <c r="AA839" s="342"/>
      <c r="AB839" s="342"/>
      <c r="AC839" s="342"/>
    </row>
    <row r="840" spans="1:29" x14ac:dyDescent="0.25">
      <c r="A840" s="342"/>
      <c r="B840" s="342"/>
      <c r="C840" s="342"/>
      <c r="D840" s="342"/>
      <c r="E840" s="342"/>
      <c r="F840" s="342"/>
      <c r="G840" s="342"/>
      <c r="H840" s="342"/>
      <c r="I840" s="342"/>
      <c r="J840" s="342"/>
      <c r="K840" s="342"/>
      <c r="L840" s="342"/>
      <c r="M840" s="342"/>
      <c r="N840" s="342"/>
      <c r="O840" s="342"/>
      <c r="P840" s="342"/>
      <c r="Q840" s="342"/>
      <c r="R840" s="342"/>
      <c r="S840" s="342"/>
      <c r="T840" s="342"/>
      <c r="U840" s="342"/>
      <c r="V840" s="342"/>
      <c r="W840" s="342"/>
      <c r="X840" s="342"/>
      <c r="Y840" s="342"/>
      <c r="Z840" s="342"/>
      <c r="AA840" s="342"/>
      <c r="AB840" s="342"/>
      <c r="AC840" s="342"/>
    </row>
    <row r="841" spans="1:29" x14ac:dyDescent="0.25">
      <c r="A841" s="342"/>
      <c r="B841" s="342"/>
      <c r="C841" s="342"/>
      <c r="D841" s="342"/>
      <c r="E841" s="342"/>
      <c r="F841" s="342"/>
      <c r="G841" s="342"/>
      <c r="H841" s="342"/>
      <c r="I841" s="342"/>
      <c r="J841" s="342"/>
      <c r="K841" s="342"/>
      <c r="L841" s="342"/>
      <c r="M841" s="342"/>
      <c r="N841" s="342"/>
      <c r="O841" s="342"/>
      <c r="P841" s="342"/>
      <c r="Q841" s="342"/>
      <c r="R841" s="342"/>
      <c r="S841" s="342"/>
      <c r="T841" s="342"/>
      <c r="U841" s="342"/>
      <c r="V841" s="342"/>
      <c r="W841" s="342"/>
      <c r="X841" s="342"/>
      <c r="Y841" s="342"/>
      <c r="Z841" s="342"/>
      <c r="AA841" s="342"/>
      <c r="AB841" s="342"/>
      <c r="AC841" s="342"/>
    </row>
    <row r="842" spans="1:29" x14ac:dyDescent="0.25">
      <c r="A842" s="342"/>
      <c r="B842" s="342"/>
      <c r="C842" s="342"/>
      <c r="D842" s="342"/>
      <c r="E842" s="342"/>
      <c r="F842" s="342"/>
      <c r="G842" s="342"/>
      <c r="H842" s="342"/>
      <c r="I842" s="342"/>
      <c r="J842" s="342"/>
      <c r="K842" s="342"/>
      <c r="L842" s="342"/>
      <c r="M842" s="342"/>
      <c r="N842" s="342"/>
      <c r="O842" s="342"/>
      <c r="P842" s="342"/>
      <c r="Q842" s="342"/>
      <c r="R842" s="342"/>
      <c r="S842" s="342"/>
      <c r="T842" s="342"/>
      <c r="U842" s="342"/>
      <c r="V842" s="342"/>
      <c r="W842" s="342"/>
      <c r="X842" s="342"/>
      <c r="Y842" s="342"/>
      <c r="Z842" s="342"/>
      <c r="AA842" s="342"/>
      <c r="AB842" s="342"/>
      <c r="AC842" s="342"/>
    </row>
    <row r="843" spans="1:29" x14ac:dyDescent="0.25">
      <c r="A843" s="342"/>
      <c r="B843" s="342"/>
      <c r="C843" s="342"/>
      <c r="D843" s="342"/>
      <c r="E843" s="342"/>
      <c r="F843" s="342"/>
      <c r="G843" s="342"/>
      <c r="H843" s="342"/>
      <c r="I843" s="342"/>
      <c r="J843" s="342"/>
      <c r="K843" s="342"/>
      <c r="L843" s="342"/>
      <c r="M843" s="342"/>
      <c r="N843" s="342"/>
      <c r="O843" s="342"/>
      <c r="P843" s="342"/>
      <c r="Q843" s="342"/>
      <c r="R843" s="342"/>
      <c r="S843" s="342"/>
      <c r="T843" s="342"/>
      <c r="U843" s="342"/>
      <c r="V843" s="342"/>
      <c r="W843" s="342"/>
      <c r="X843" s="342"/>
      <c r="Y843" s="342"/>
      <c r="Z843" s="342"/>
      <c r="AA843" s="342"/>
      <c r="AB843" s="342"/>
      <c r="AC843" s="342"/>
    </row>
    <row r="844" spans="1:29" x14ac:dyDescent="0.25">
      <c r="A844" s="342"/>
      <c r="B844" s="342"/>
      <c r="C844" s="342"/>
      <c r="D844" s="342"/>
      <c r="E844" s="342"/>
      <c r="F844" s="342"/>
      <c r="G844" s="342"/>
      <c r="H844" s="342"/>
      <c r="I844" s="342"/>
      <c r="J844" s="342"/>
      <c r="K844" s="342"/>
      <c r="L844" s="342"/>
      <c r="M844" s="342"/>
      <c r="N844" s="342"/>
      <c r="O844" s="342"/>
      <c r="P844" s="342"/>
      <c r="Q844" s="342"/>
      <c r="R844" s="342"/>
      <c r="S844" s="342"/>
      <c r="T844" s="342"/>
      <c r="U844" s="342"/>
      <c r="V844" s="342"/>
      <c r="W844" s="342"/>
      <c r="X844" s="342"/>
      <c r="Y844" s="342"/>
      <c r="Z844" s="342"/>
      <c r="AA844" s="342"/>
      <c r="AB844" s="342"/>
      <c r="AC844" s="342"/>
    </row>
    <row r="845" spans="1:29" x14ac:dyDescent="0.25">
      <c r="A845" s="342"/>
      <c r="B845" s="342"/>
      <c r="C845" s="342"/>
      <c r="D845" s="342"/>
      <c r="E845" s="342"/>
      <c r="F845" s="342"/>
      <c r="G845" s="342"/>
      <c r="H845" s="342"/>
      <c r="I845" s="342"/>
      <c r="J845" s="342"/>
      <c r="K845" s="342"/>
      <c r="L845" s="342"/>
      <c r="M845" s="342"/>
      <c r="N845" s="342"/>
      <c r="O845" s="342"/>
      <c r="P845" s="342"/>
      <c r="Q845" s="342"/>
      <c r="R845" s="342"/>
      <c r="S845" s="342"/>
      <c r="T845" s="342"/>
      <c r="U845" s="342"/>
      <c r="V845" s="342"/>
      <c r="W845" s="342"/>
      <c r="X845" s="342"/>
      <c r="Y845" s="342"/>
      <c r="Z845" s="342"/>
      <c r="AA845" s="342"/>
      <c r="AB845" s="342"/>
      <c r="AC845" s="342"/>
    </row>
    <row r="846" spans="1:29" x14ac:dyDescent="0.25">
      <c r="A846" s="342"/>
      <c r="B846" s="342"/>
      <c r="C846" s="342"/>
      <c r="D846" s="342"/>
      <c r="E846" s="342"/>
      <c r="F846" s="342"/>
      <c r="G846" s="342"/>
      <c r="H846" s="342"/>
      <c r="I846" s="342"/>
      <c r="J846" s="342"/>
      <c r="K846" s="342"/>
      <c r="L846" s="342"/>
      <c r="M846" s="342"/>
      <c r="N846" s="342"/>
      <c r="O846" s="342"/>
      <c r="P846" s="342"/>
      <c r="Q846" s="342"/>
      <c r="R846" s="342"/>
      <c r="S846" s="342"/>
      <c r="T846" s="342"/>
      <c r="U846" s="342"/>
      <c r="V846" s="342"/>
      <c r="W846" s="342"/>
      <c r="X846" s="342"/>
      <c r="Y846" s="342"/>
      <c r="Z846" s="342"/>
      <c r="AA846" s="342"/>
      <c r="AB846" s="342"/>
      <c r="AC846" s="342"/>
    </row>
    <row r="847" spans="1:29" x14ac:dyDescent="0.25">
      <c r="A847" s="342"/>
      <c r="B847" s="342"/>
      <c r="C847" s="342"/>
      <c r="D847" s="342"/>
      <c r="E847" s="342"/>
      <c r="F847" s="342"/>
      <c r="G847" s="342"/>
      <c r="H847" s="342"/>
      <c r="I847" s="342"/>
      <c r="J847" s="342"/>
      <c r="K847" s="342"/>
      <c r="L847" s="342"/>
      <c r="M847" s="342"/>
      <c r="N847" s="342"/>
      <c r="O847" s="342"/>
      <c r="P847" s="342"/>
      <c r="Q847" s="342"/>
      <c r="R847" s="342"/>
      <c r="S847" s="342"/>
      <c r="T847" s="342"/>
      <c r="U847" s="342"/>
      <c r="V847" s="342"/>
      <c r="W847" s="342"/>
      <c r="X847" s="342"/>
      <c r="Y847" s="342"/>
      <c r="Z847" s="342"/>
      <c r="AA847" s="342"/>
      <c r="AB847" s="342"/>
      <c r="AC847" s="342"/>
    </row>
    <row r="848" spans="1:29" x14ac:dyDescent="0.25">
      <c r="A848" s="342"/>
      <c r="B848" s="342"/>
      <c r="C848" s="342"/>
      <c r="D848" s="342"/>
      <c r="E848" s="342"/>
      <c r="F848" s="342"/>
      <c r="G848" s="342"/>
      <c r="H848" s="342"/>
      <c r="I848" s="342"/>
      <c r="J848" s="342"/>
      <c r="K848" s="342"/>
      <c r="L848" s="342"/>
      <c r="M848" s="342"/>
      <c r="N848" s="342"/>
      <c r="O848" s="342"/>
      <c r="P848" s="342"/>
      <c r="Q848" s="342"/>
      <c r="R848" s="342"/>
      <c r="S848" s="342"/>
      <c r="T848" s="342"/>
      <c r="U848" s="342"/>
      <c r="V848" s="342"/>
      <c r="W848" s="342"/>
      <c r="X848" s="342"/>
      <c r="Y848" s="342"/>
      <c r="Z848" s="342"/>
      <c r="AA848" s="342"/>
      <c r="AB848" s="342"/>
      <c r="AC848" s="342"/>
    </row>
    <row r="849" spans="1:29" x14ac:dyDescent="0.25">
      <c r="A849" s="342"/>
      <c r="B849" s="342"/>
      <c r="C849" s="342"/>
      <c r="D849" s="342"/>
      <c r="E849" s="342"/>
      <c r="F849" s="342"/>
      <c r="G849" s="342"/>
      <c r="H849" s="342"/>
      <c r="I849" s="342"/>
      <c r="J849" s="342"/>
      <c r="K849" s="342"/>
      <c r="L849" s="342"/>
      <c r="M849" s="342"/>
      <c r="N849" s="342"/>
      <c r="O849" s="342"/>
      <c r="P849" s="342"/>
      <c r="Q849" s="342"/>
      <c r="R849" s="342"/>
      <c r="S849" s="342"/>
      <c r="T849" s="342"/>
      <c r="U849" s="342"/>
      <c r="V849" s="342"/>
      <c r="W849" s="342"/>
      <c r="X849" s="342"/>
      <c r="Y849" s="342"/>
      <c r="Z849" s="342"/>
      <c r="AA849" s="342"/>
      <c r="AB849" s="342"/>
      <c r="AC849" s="342"/>
    </row>
    <row r="850" spans="1:29" x14ac:dyDescent="0.25">
      <c r="A850" s="342"/>
      <c r="B850" s="342"/>
      <c r="C850" s="342"/>
      <c r="D850" s="342"/>
      <c r="E850" s="342"/>
      <c r="F850" s="342"/>
      <c r="G850" s="342"/>
      <c r="H850" s="342"/>
      <c r="I850" s="342"/>
      <c r="J850" s="342"/>
      <c r="K850" s="342"/>
      <c r="L850" s="342"/>
      <c r="M850" s="342"/>
      <c r="N850" s="342"/>
      <c r="O850" s="342"/>
      <c r="P850" s="342"/>
      <c r="Q850" s="342"/>
      <c r="R850" s="342"/>
      <c r="S850" s="342"/>
      <c r="T850" s="342"/>
      <c r="U850" s="342"/>
      <c r="V850" s="342"/>
      <c r="W850" s="342"/>
      <c r="X850" s="342"/>
      <c r="Y850" s="342"/>
      <c r="Z850" s="342"/>
      <c r="AA850" s="342"/>
      <c r="AB850" s="342"/>
      <c r="AC850" s="342"/>
    </row>
    <row r="851" spans="1:29" x14ac:dyDescent="0.25">
      <c r="A851" s="342"/>
      <c r="B851" s="342"/>
      <c r="C851" s="342"/>
      <c r="D851" s="342"/>
      <c r="E851" s="342"/>
      <c r="F851" s="342"/>
      <c r="G851" s="342"/>
      <c r="H851" s="342"/>
      <c r="I851" s="342"/>
      <c r="J851" s="342"/>
      <c r="K851" s="342"/>
      <c r="L851" s="342"/>
      <c r="M851" s="342"/>
      <c r="N851" s="342"/>
      <c r="O851" s="342"/>
      <c r="P851" s="342"/>
      <c r="Q851" s="342"/>
      <c r="R851" s="342"/>
      <c r="S851" s="342"/>
      <c r="T851" s="342"/>
      <c r="U851" s="342"/>
      <c r="V851" s="342"/>
      <c r="W851" s="342"/>
      <c r="X851" s="342"/>
      <c r="Y851" s="342"/>
      <c r="Z851" s="342"/>
      <c r="AA851" s="342"/>
      <c r="AB851" s="342"/>
      <c r="AC851" s="342"/>
    </row>
    <row r="852" spans="1:29" x14ac:dyDescent="0.25">
      <c r="A852" s="342"/>
      <c r="B852" s="342"/>
      <c r="C852" s="342"/>
      <c r="D852" s="342"/>
      <c r="E852" s="342"/>
      <c r="F852" s="342"/>
      <c r="G852" s="342"/>
      <c r="H852" s="342"/>
      <c r="I852" s="342"/>
      <c r="J852" s="342"/>
      <c r="K852" s="342"/>
      <c r="L852" s="342"/>
      <c r="M852" s="342"/>
      <c r="N852" s="342"/>
      <c r="O852" s="342"/>
      <c r="P852" s="342"/>
      <c r="Q852" s="342"/>
      <c r="R852" s="342"/>
      <c r="S852" s="342"/>
      <c r="T852" s="342"/>
      <c r="U852" s="342"/>
      <c r="V852" s="342"/>
      <c r="W852" s="342"/>
      <c r="X852" s="342"/>
      <c r="Y852" s="342"/>
      <c r="Z852" s="342"/>
      <c r="AA852" s="342"/>
      <c r="AB852" s="342"/>
      <c r="AC852" s="342"/>
    </row>
    <row r="853" spans="1:29" x14ac:dyDescent="0.25">
      <c r="A853" s="342"/>
      <c r="B853" s="342"/>
      <c r="C853" s="342"/>
      <c r="D853" s="342"/>
      <c r="E853" s="342"/>
      <c r="F853" s="342"/>
      <c r="G853" s="342"/>
      <c r="H853" s="342"/>
      <c r="I853" s="342"/>
      <c r="J853" s="342"/>
      <c r="K853" s="342"/>
      <c r="L853" s="342"/>
      <c r="M853" s="342"/>
      <c r="N853" s="342"/>
      <c r="O853" s="342"/>
      <c r="P853" s="342"/>
      <c r="Q853" s="342"/>
      <c r="R853" s="342"/>
      <c r="S853" s="342"/>
      <c r="T853" s="342"/>
      <c r="U853" s="342"/>
      <c r="V853" s="342"/>
      <c r="W853" s="342"/>
      <c r="X853" s="342"/>
      <c r="Y853" s="342"/>
      <c r="Z853" s="342"/>
      <c r="AA853" s="342"/>
      <c r="AB853" s="342"/>
      <c r="AC853" s="342"/>
    </row>
    <row r="854" spans="1:29" x14ac:dyDescent="0.25">
      <c r="A854" s="342"/>
      <c r="B854" s="342"/>
      <c r="C854" s="342"/>
      <c r="D854" s="342"/>
      <c r="E854" s="342"/>
      <c r="F854" s="342"/>
      <c r="G854" s="342"/>
      <c r="H854" s="342"/>
      <c r="I854" s="342"/>
      <c r="J854" s="342"/>
      <c r="K854" s="342"/>
      <c r="L854" s="342"/>
      <c r="M854" s="342"/>
      <c r="N854" s="342"/>
      <c r="O854" s="342"/>
      <c r="P854" s="342"/>
      <c r="Q854" s="342"/>
      <c r="R854" s="342"/>
      <c r="S854" s="342"/>
      <c r="T854" s="342"/>
      <c r="U854" s="342"/>
      <c r="V854" s="342"/>
      <c r="W854" s="342"/>
      <c r="X854" s="342"/>
      <c r="Y854" s="342"/>
      <c r="Z854" s="342"/>
      <c r="AA854" s="342"/>
      <c r="AB854" s="342"/>
      <c r="AC854" s="342"/>
    </row>
    <row r="855" spans="1:29" x14ac:dyDescent="0.25">
      <c r="A855" s="342"/>
      <c r="B855" s="342"/>
      <c r="C855" s="342"/>
      <c r="D855" s="342"/>
      <c r="E855" s="342"/>
      <c r="F855" s="342"/>
      <c r="G855" s="342"/>
      <c r="H855" s="342"/>
      <c r="I855" s="342"/>
      <c r="J855" s="342"/>
      <c r="K855" s="342"/>
      <c r="L855" s="342"/>
      <c r="M855" s="342"/>
      <c r="N855" s="342"/>
      <c r="O855" s="342"/>
      <c r="P855" s="342"/>
      <c r="Q855" s="342"/>
      <c r="R855" s="342"/>
      <c r="S855" s="342"/>
      <c r="T855" s="342"/>
      <c r="U855" s="342"/>
      <c r="V855" s="342"/>
      <c r="W855" s="342"/>
      <c r="X855" s="342"/>
      <c r="Y855" s="342"/>
      <c r="Z855" s="342"/>
      <c r="AA855" s="342"/>
      <c r="AB855" s="342"/>
      <c r="AC855" s="342"/>
    </row>
    <row r="856" spans="1:29" x14ac:dyDescent="0.25">
      <c r="A856" s="342"/>
      <c r="B856" s="342"/>
      <c r="C856" s="342"/>
      <c r="D856" s="342"/>
      <c r="E856" s="342"/>
      <c r="F856" s="342"/>
      <c r="G856" s="342"/>
      <c r="H856" s="342"/>
      <c r="I856" s="342"/>
      <c r="J856" s="342"/>
      <c r="K856" s="342"/>
      <c r="L856" s="342"/>
      <c r="M856" s="342"/>
      <c r="N856" s="342"/>
      <c r="O856" s="342"/>
      <c r="P856" s="342"/>
      <c r="Q856" s="342"/>
      <c r="R856" s="342"/>
      <c r="S856" s="342"/>
      <c r="T856" s="342"/>
      <c r="U856" s="342"/>
      <c r="V856" s="342"/>
      <c r="W856" s="342"/>
      <c r="X856" s="342"/>
      <c r="Y856" s="342"/>
      <c r="Z856" s="342"/>
      <c r="AA856" s="342"/>
      <c r="AB856" s="342"/>
      <c r="AC856" s="342"/>
    </row>
    <row r="857" spans="1:29" x14ac:dyDescent="0.25">
      <c r="A857" s="342"/>
      <c r="B857" s="342"/>
      <c r="C857" s="342"/>
      <c r="D857" s="342"/>
      <c r="E857" s="342"/>
      <c r="F857" s="342"/>
      <c r="G857" s="342"/>
      <c r="H857" s="342"/>
      <c r="I857" s="342"/>
      <c r="J857" s="342"/>
      <c r="K857" s="342"/>
      <c r="L857" s="342"/>
      <c r="M857" s="342"/>
      <c r="N857" s="342"/>
      <c r="O857" s="342"/>
      <c r="P857" s="342"/>
      <c r="Q857" s="342"/>
      <c r="R857" s="342"/>
      <c r="S857" s="342"/>
      <c r="T857" s="342"/>
      <c r="U857" s="342"/>
      <c r="V857" s="342"/>
      <c r="W857" s="342"/>
      <c r="X857" s="342"/>
      <c r="Y857" s="342"/>
      <c r="Z857" s="342"/>
      <c r="AA857" s="342"/>
      <c r="AB857" s="342"/>
      <c r="AC857" s="342"/>
    </row>
    <row r="858" spans="1:29" x14ac:dyDescent="0.25">
      <c r="A858" s="342"/>
      <c r="B858" s="342"/>
      <c r="C858" s="342"/>
      <c r="D858" s="342"/>
      <c r="E858" s="342"/>
      <c r="F858" s="342"/>
      <c r="G858" s="342"/>
      <c r="H858" s="342"/>
      <c r="I858" s="342"/>
      <c r="J858" s="342"/>
      <c r="K858" s="342"/>
      <c r="L858" s="342"/>
      <c r="M858" s="342"/>
      <c r="N858" s="342"/>
      <c r="O858" s="342"/>
      <c r="P858" s="342"/>
      <c r="Q858" s="342"/>
      <c r="R858" s="342"/>
      <c r="S858" s="342"/>
      <c r="T858" s="342"/>
      <c r="U858" s="342"/>
      <c r="V858" s="342"/>
      <c r="W858" s="342"/>
      <c r="X858" s="342"/>
      <c r="Y858" s="342"/>
      <c r="Z858" s="342"/>
      <c r="AA858" s="342"/>
      <c r="AB858" s="342"/>
      <c r="AC858" s="342"/>
    </row>
    <row r="859" spans="1:29" x14ac:dyDescent="0.25">
      <c r="A859" s="342"/>
      <c r="B859" s="342"/>
      <c r="C859" s="342"/>
      <c r="D859" s="342"/>
      <c r="E859" s="342"/>
      <c r="F859" s="342"/>
      <c r="G859" s="342"/>
      <c r="H859" s="342"/>
      <c r="I859" s="342"/>
      <c r="J859" s="342"/>
      <c r="K859" s="342"/>
      <c r="L859" s="342"/>
      <c r="M859" s="342"/>
      <c r="N859" s="342"/>
      <c r="O859" s="342"/>
      <c r="P859" s="342"/>
      <c r="Q859" s="342"/>
      <c r="R859" s="342"/>
      <c r="S859" s="342"/>
      <c r="T859" s="342"/>
      <c r="U859" s="342"/>
      <c r="V859" s="342"/>
      <c r="W859" s="342"/>
      <c r="X859" s="342"/>
      <c r="Y859" s="342"/>
      <c r="Z859" s="342"/>
      <c r="AA859" s="342"/>
      <c r="AB859" s="342"/>
      <c r="AC859" s="342"/>
    </row>
    <row r="860" spans="1:29" x14ac:dyDescent="0.25">
      <c r="A860" s="342"/>
      <c r="B860" s="342"/>
      <c r="C860" s="342"/>
      <c r="D860" s="342"/>
      <c r="E860" s="342"/>
      <c r="F860" s="342"/>
      <c r="G860" s="342"/>
      <c r="H860" s="342"/>
      <c r="I860" s="342"/>
      <c r="J860" s="342"/>
      <c r="K860" s="342"/>
      <c r="L860" s="342"/>
      <c r="M860" s="342"/>
      <c r="N860" s="342"/>
      <c r="O860" s="342"/>
      <c r="P860" s="342"/>
      <c r="Q860" s="342"/>
      <c r="R860" s="342"/>
      <c r="S860" s="342"/>
      <c r="T860" s="342"/>
      <c r="U860" s="342"/>
      <c r="V860" s="342"/>
      <c r="W860" s="342"/>
      <c r="X860" s="342"/>
      <c r="Y860" s="342"/>
      <c r="Z860" s="342"/>
      <c r="AA860" s="342"/>
      <c r="AB860" s="342"/>
      <c r="AC860" s="342"/>
    </row>
    <row r="861" spans="1:29" x14ac:dyDescent="0.25">
      <c r="A861" s="342"/>
      <c r="B861" s="342"/>
      <c r="C861" s="342"/>
      <c r="D861" s="342"/>
      <c r="E861" s="342"/>
      <c r="F861" s="342"/>
      <c r="G861" s="342"/>
      <c r="H861" s="342"/>
      <c r="I861" s="342"/>
      <c r="J861" s="342"/>
      <c r="K861" s="342"/>
      <c r="L861" s="342"/>
      <c r="M861" s="342"/>
      <c r="N861" s="342"/>
      <c r="O861" s="342"/>
      <c r="P861" s="342"/>
      <c r="Q861" s="342"/>
      <c r="R861" s="342"/>
      <c r="S861" s="342"/>
      <c r="T861" s="342"/>
      <c r="U861" s="342"/>
      <c r="V861" s="342"/>
      <c r="W861" s="342"/>
      <c r="X861" s="342"/>
      <c r="Y861" s="342"/>
      <c r="Z861" s="342"/>
      <c r="AA861" s="342"/>
      <c r="AB861" s="342"/>
      <c r="AC861" s="342"/>
    </row>
    <row r="862" spans="1:29" x14ac:dyDescent="0.25">
      <c r="A862" s="342"/>
      <c r="B862" s="342"/>
      <c r="C862" s="342"/>
      <c r="D862" s="342"/>
      <c r="E862" s="342"/>
      <c r="F862" s="342"/>
      <c r="G862" s="342"/>
      <c r="H862" s="342"/>
      <c r="I862" s="342"/>
      <c r="J862" s="342"/>
      <c r="K862" s="342"/>
      <c r="L862" s="342"/>
      <c r="M862" s="342"/>
      <c r="N862" s="342"/>
      <c r="O862" s="342"/>
      <c r="P862" s="342"/>
      <c r="Q862" s="342"/>
      <c r="R862" s="342"/>
      <c r="S862" s="342"/>
      <c r="T862" s="342"/>
      <c r="U862" s="342"/>
      <c r="V862" s="342"/>
      <c r="W862" s="342"/>
      <c r="X862" s="342"/>
      <c r="Y862" s="342"/>
      <c r="Z862" s="342"/>
      <c r="AA862" s="342"/>
      <c r="AB862" s="342"/>
      <c r="AC862" s="342"/>
    </row>
    <row r="863" spans="1:29" x14ac:dyDescent="0.25">
      <c r="A863" s="342"/>
      <c r="B863" s="342"/>
      <c r="C863" s="342"/>
      <c r="D863" s="342"/>
      <c r="E863" s="342"/>
      <c r="F863" s="342"/>
      <c r="G863" s="342"/>
      <c r="H863" s="342"/>
      <c r="I863" s="342"/>
      <c r="J863" s="342"/>
      <c r="K863" s="342"/>
      <c r="L863" s="342"/>
      <c r="M863" s="342"/>
      <c r="N863" s="342"/>
      <c r="O863" s="342"/>
      <c r="P863" s="342"/>
      <c r="Q863" s="342"/>
      <c r="R863" s="342"/>
      <c r="S863" s="342"/>
      <c r="T863" s="342"/>
      <c r="U863" s="342"/>
      <c r="V863" s="342"/>
      <c r="W863" s="342"/>
      <c r="X863" s="342"/>
      <c r="Y863" s="342"/>
      <c r="Z863" s="342"/>
      <c r="AA863" s="342"/>
      <c r="AB863" s="342"/>
      <c r="AC863" s="342"/>
    </row>
    <row r="864" spans="1:29" x14ac:dyDescent="0.25">
      <c r="A864" s="342"/>
      <c r="B864" s="342"/>
      <c r="C864" s="342"/>
      <c r="D864" s="342"/>
      <c r="E864" s="342"/>
      <c r="F864" s="342"/>
      <c r="G864" s="342"/>
      <c r="H864" s="342"/>
      <c r="I864" s="342"/>
      <c r="J864" s="342"/>
      <c r="K864" s="342"/>
      <c r="L864" s="342"/>
      <c r="M864" s="342"/>
      <c r="N864" s="342"/>
      <c r="O864" s="342"/>
      <c r="P864" s="342"/>
      <c r="Q864" s="342"/>
      <c r="R864" s="342"/>
      <c r="S864" s="342"/>
      <c r="T864" s="342"/>
      <c r="U864" s="342"/>
      <c r="V864" s="342"/>
      <c r="W864" s="342"/>
      <c r="X864" s="342"/>
      <c r="Y864" s="342"/>
      <c r="Z864" s="342"/>
      <c r="AA864" s="342"/>
      <c r="AB864" s="342"/>
      <c r="AC864" s="342"/>
    </row>
    <row r="865" spans="1:29" x14ac:dyDescent="0.25">
      <c r="A865" s="342"/>
      <c r="B865" s="342"/>
      <c r="C865" s="342"/>
      <c r="D865" s="342"/>
      <c r="E865" s="342"/>
      <c r="F865" s="342"/>
      <c r="G865" s="342"/>
      <c r="H865" s="342"/>
      <c r="I865" s="342"/>
      <c r="J865" s="342"/>
      <c r="K865" s="342"/>
      <c r="L865" s="342"/>
      <c r="M865" s="342"/>
      <c r="N865" s="342"/>
      <c r="O865" s="342"/>
      <c r="P865" s="342"/>
      <c r="Q865" s="342"/>
      <c r="R865" s="342"/>
      <c r="S865" s="342"/>
      <c r="T865" s="342"/>
      <c r="U865" s="342"/>
      <c r="V865" s="342"/>
      <c r="W865" s="342"/>
      <c r="X865" s="342"/>
      <c r="Y865" s="342"/>
      <c r="Z865" s="342"/>
      <c r="AA865" s="342"/>
      <c r="AB865" s="342"/>
      <c r="AC865" s="342"/>
    </row>
    <row r="866" spans="1:29" x14ac:dyDescent="0.25">
      <c r="A866" s="342"/>
      <c r="B866" s="342"/>
      <c r="C866" s="342"/>
      <c r="D866" s="342"/>
      <c r="E866" s="342"/>
      <c r="F866" s="342"/>
      <c r="G866" s="342"/>
      <c r="H866" s="342"/>
      <c r="I866" s="342"/>
      <c r="J866" s="342"/>
      <c r="K866" s="342"/>
      <c r="L866" s="342"/>
      <c r="M866" s="342"/>
      <c r="N866" s="342"/>
      <c r="O866" s="342"/>
      <c r="P866" s="342"/>
      <c r="Q866" s="342"/>
      <c r="R866" s="342"/>
      <c r="S866" s="342"/>
      <c r="T866" s="342"/>
      <c r="U866" s="342"/>
      <c r="V866" s="342"/>
      <c r="W866" s="342"/>
      <c r="X866" s="342"/>
      <c r="Y866" s="342"/>
      <c r="Z866" s="342"/>
      <c r="AA866" s="342"/>
      <c r="AB866" s="342"/>
      <c r="AC866" s="342"/>
    </row>
    <row r="867" spans="1:29" x14ac:dyDescent="0.25">
      <c r="A867" s="342"/>
      <c r="B867" s="342"/>
      <c r="C867" s="342"/>
      <c r="D867" s="342"/>
      <c r="E867" s="342"/>
      <c r="F867" s="342"/>
      <c r="G867" s="342"/>
      <c r="H867" s="342"/>
      <c r="I867" s="342"/>
      <c r="J867" s="342"/>
      <c r="K867" s="342"/>
      <c r="L867" s="342"/>
      <c r="M867" s="342"/>
      <c r="N867" s="342"/>
      <c r="O867" s="342"/>
      <c r="P867" s="342"/>
      <c r="Q867" s="342"/>
      <c r="R867" s="342"/>
      <c r="S867" s="342"/>
      <c r="T867" s="342"/>
      <c r="U867" s="342"/>
      <c r="V867" s="342"/>
      <c r="W867" s="342"/>
      <c r="X867" s="342"/>
      <c r="Y867" s="342"/>
      <c r="Z867" s="342"/>
      <c r="AA867" s="342"/>
      <c r="AB867" s="342"/>
      <c r="AC867" s="342"/>
    </row>
    <row r="868" spans="1:29" x14ac:dyDescent="0.25">
      <c r="A868" s="342"/>
      <c r="B868" s="342"/>
      <c r="C868" s="342"/>
      <c r="D868" s="342"/>
      <c r="E868" s="342"/>
      <c r="F868" s="342"/>
      <c r="G868" s="342"/>
      <c r="H868" s="342"/>
      <c r="I868" s="342"/>
      <c r="J868" s="342"/>
      <c r="K868" s="342"/>
      <c r="L868" s="342"/>
      <c r="M868" s="342"/>
      <c r="N868" s="342"/>
      <c r="O868" s="342"/>
      <c r="P868" s="342"/>
      <c r="Q868" s="342"/>
      <c r="R868" s="342"/>
      <c r="S868" s="342"/>
      <c r="T868" s="342"/>
      <c r="U868" s="342"/>
      <c r="V868" s="342"/>
      <c r="W868" s="342"/>
      <c r="X868" s="342"/>
      <c r="Y868" s="342"/>
      <c r="Z868" s="342"/>
      <c r="AA868" s="342"/>
      <c r="AB868" s="342"/>
      <c r="AC868" s="342"/>
    </row>
    <row r="869" spans="1:29" x14ac:dyDescent="0.25">
      <c r="A869" s="342"/>
      <c r="B869" s="342"/>
      <c r="C869" s="342"/>
      <c r="D869" s="342"/>
      <c r="E869" s="342"/>
      <c r="F869" s="342"/>
      <c r="G869" s="342"/>
      <c r="H869" s="342"/>
      <c r="I869" s="342"/>
      <c r="J869" s="342"/>
      <c r="K869" s="342"/>
      <c r="L869" s="342"/>
      <c r="M869" s="342"/>
      <c r="N869" s="342"/>
      <c r="O869" s="342"/>
      <c r="P869" s="342"/>
      <c r="Q869" s="342"/>
      <c r="R869" s="342"/>
      <c r="S869" s="342"/>
      <c r="T869" s="342"/>
      <c r="U869" s="342"/>
      <c r="V869" s="342"/>
      <c r="W869" s="342"/>
      <c r="X869" s="342"/>
      <c r="Y869" s="342"/>
      <c r="Z869" s="342"/>
      <c r="AA869" s="342"/>
      <c r="AB869" s="342"/>
      <c r="AC869" s="342"/>
    </row>
    <row r="870" spans="1:29" x14ac:dyDescent="0.25">
      <c r="A870" s="342"/>
      <c r="B870" s="342"/>
      <c r="C870" s="342"/>
      <c r="D870" s="342"/>
      <c r="E870" s="342"/>
      <c r="F870" s="342"/>
      <c r="G870" s="342"/>
      <c r="H870" s="342"/>
      <c r="I870" s="342"/>
      <c r="J870" s="342"/>
      <c r="K870" s="342"/>
      <c r="L870" s="342"/>
      <c r="M870" s="342"/>
      <c r="N870" s="342"/>
      <c r="O870" s="342"/>
      <c r="P870" s="342"/>
      <c r="Q870" s="342"/>
      <c r="R870" s="342"/>
      <c r="S870" s="342"/>
      <c r="T870" s="342"/>
      <c r="U870" s="342"/>
      <c r="V870" s="342"/>
      <c r="W870" s="342"/>
      <c r="X870" s="342"/>
      <c r="Y870" s="342"/>
      <c r="Z870" s="342"/>
      <c r="AA870" s="342"/>
      <c r="AB870" s="342"/>
      <c r="AC870" s="342"/>
    </row>
    <row r="871" spans="1:29" x14ac:dyDescent="0.25">
      <c r="A871" s="342"/>
      <c r="B871" s="342"/>
      <c r="C871" s="342"/>
      <c r="D871" s="342"/>
      <c r="E871" s="342"/>
      <c r="F871" s="342"/>
      <c r="G871" s="342"/>
      <c r="H871" s="342"/>
      <c r="I871" s="342"/>
      <c r="J871" s="342"/>
      <c r="K871" s="342"/>
      <c r="L871" s="342"/>
      <c r="M871" s="342"/>
      <c r="N871" s="342"/>
      <c r="O871" s="342"/>
      <c r="P871" s="342"/>
      <c r="Q871" s="342"/>
      <c r="R871" s="342"/>
      <c r="S871" s="342"/>
      <c r="T871" s="342"/>
      <c r="U871" s="342"/>
      <c r="V871" s="342"/>
      <c r="W871" s="342"/>
      <c r="X871" s="342"/>
      <c r="Y871" s="342"/>
      <c r="Z871" s="342"/>
      <c r="AA871" s="342"/>
      <c r="AB871" s="342"/>
      <c r="AC871" s="342"/>
    </row>
  </sheetData>
  <sheetProtection password="B65E" sheet="1" objects="1" scenarios="1"/>
  <mergeCells count="990">
    <mergeCell ref="D6:H6"/>
    <mergeCell ref="M6:Q6"/>
    <mergeCell ref="V6:AB6"/>
    <mergeCell ref="D7:H7"/>
    <mergeCell ref="M7:Q7"/>
    <mergeCell ref="V7:AB7"/>
    <mergeCell ref="B2:H2"/>
    <mergeCell ref="K2:Q2"/>
    <mergeCell ref="T2:AB2"/>
    <mergeCell ref="T3:AB3"/>
    <mergeCell ref="D5:H5"/>
    <mergeCell ref="M5:Q5"/>
    <mergeCell ref="V5:AB5"/>
    <mergeCell ref="B12:B15"/>
    <mergeCell ref="C12:H12"/>
    <mergeCell ref="K12:K15"/>
    <mergeCell ref="L12:Q12"/>
    <mergeCell ref="T12:T15"/>
    <mergeCell ref="U12:AB12"/>
    <mergeCell ref="C13:C15"/>
    <mergeCell ref="D8:H8"/>
    <mergeCell ref="M8:Q8"/>
    <mergeCell ref="V8:AB8"/>
    <mergeCell ref="D9:H9"/>
    <mergeCell ref="M9:Q9"/>
    <mergeCell ref="V9:AB9"/>
    <mergeCell ref="D13:D15"/>
    <mergeCell ref="E13:F13"/>
    <mergeCell ref="G13:H13"/>
    <mergeCell ref="L13:L15"/>
    <mergeCell ref="M13:M15"/>
    <mergeCell ref="N13:O13"/>
    <mergeCell ref="D10:H10"/>
    <mergeCell ref="M10:Q10"/>
    <mergeCell ref="V10:AB10"/>
    <mergeCell ref="AG34:AG35"/>
    <mergeCell ref="AH34:AH35"/>
    <mergeCell ref="AG42:AG43"/>
    <mergeCell ref="AH42:AH43"/>
    <mergeCell ref="AG44:AG45"/>
    <mergeCell ref="AH44:AH45"/>
    <mergeCell ref="P13:Q13"/>
    <mergeCell ref="U13:U15"/>
    <mergeCell ref="V13:V15"/>
    <mergeCell ref="W13:Y13"/>
    <mergeCell ref="Z13:AB13"/>
    <mergeCell ref="Y55:Z55"/>
    <mergeCell ref="AA55:AB55"/>
    <mergeCell ref="B54:B56"/>
    <mergeCell ref="C54:H54"/>
    <mergeCell ref="K54:K56"/>
    <mergeCell ref="L54:Q54"/>
    <mergeCell ref="T54:T56"/>
    <mergeCell ref="U54:AB54"/>
    <mergeCell ref="C55:C56"/>
    <mergeCell ref="D55:D56"/>
    <mergeCell ref="E55:F56"/>
    <mergeCell ref="M55:M56"/>
    <mergeCell ref="E57:F57"/>
    <mergeCell ref="N57:O57"/>
    <mergeCell ref="W57:X57"/>
    <mergeCell ref="E58:F58"/>
    <mergeCell ref="N58:O58"/>
    <mergeCell ref="E59:F59"/>
    <mergeCell ref="N59:O59"/>
    <mergeCell ref="N55:O56"/>
    <mergeCell ref="U55:U56"/>
    <mergeCell ref="V55:V56"/>
    <mergeCell ref="W55:X56"/>
    <mergeCell ref="E63:F63"/>
    <mergeCell ref="N63:O63"/>
    <mergeCell ref="E64:F64"/>
    <mergeCell ref="N64:O64"/>
    <mergeCell ref="E65:F65"/>
    <mergeCell ref="N65:O65"/>
    <mergeCell ref="E60:F60"/>
    <mergeCell ref="N60:O60"/>
    <mergeCell ref="E61:F61"/>
    <mergeCell ref="N61:O61"/>
    <mergeCell ref="E62:F62"/>
    <mergeCell ref="N62:O62"/>
    <mergeCell ref="E66:F66"/>
    <mergeCell ref="N66:O66"/>
    <mergeCell ref="T67:T70"/>
    <mergeCell ref="U67:U70"/>
    <mergeCell ref="V67:V70"/>
    <mergeCell ref="W67:X67"/>
    <mergeCell ref="W68:X68"/>
    <mergeCell ref="W69:X69"/>
    <mergeCell ref="W70:X70"/>
    <mergeCell ref="D76:H76"/>
    <mergeCell ref="M76:Q76"/>
    <mergeCell ref="V76:AB76"/>
    <mergeCell ref="D77:H77"/>
    <mergeCell ref="M77:Q77"/>
    <mergeCell ref="V77:AB77"/>
    <mergeCell ref="B72:H72"/>
    <mergeCell ref="K72:Q72"/>
    <mergeCell ref="T72:AB72"/>
    <mergeCell ref="T73:AB73"/>
    <mergeCell ref="D75:H75"/>
    <mergeCell ref="M75:Q75"/>
    <mergeCell ref="V75:AB75"/>
    <mergeCell ref="B82:B85"/>
    <mergeCell ref="C82:H82"/>
    <mergeCell ref="K82:K85"/>
    <mergeCell ref="L82:Q82"/>
    <mergeCell ref="T82:T85"/>
    <mergeCell ref="U82:AB82"/>
    <mergeCell ref="C83:C85"/>
    <mergeCell ref="D78:H78"/>
    <mergeCell ref="M78:Q78"/>
    <mergeCell ref="V78:AB78"/>
    <mergeCell ref="D79:H79"/>
    <mergeCell ref="M79:Q79"/>
    <mergeCell ref="V79:AB79"/>
    <mergeCell ref="D83:D85"/>
    <mergeCell ref="E83:F83"/>
    <mergeCell ref="G83:H83"/>
    <mergeCell ref="L83:L85"/>
    <mergeCell ref="M83:M85"/>
    <mergeCell ref="N83:O83"/>
    <mergeCell ref="D80:H80"/>
    <mergeCell ref="M80:Q80"/>
    <mergeCell ref="V80:AB80"/>
    <mergeCell ref="AG104:AG105"/>
    <mergeCell ref="AH104:AH105"/>
    <mergeCell ref="AG112:AG113"/>
    <mergeCell ref="AH112:AH113"/>
    <mergeCell ref="AG114:AG115"/>
    <mergeCell ref="AH114:AH115"/>
    <mergeCell ref="P83:Q83"/>
    <mergeCell ref="U83:U85"/>
    <mergeCell ref="V83:V85"/>
    <mergeCell ref="W83:Y83"/>
    <mergeCell ref="Z83:AB83"/>
    <mergeCell ref="Y125:Z125"/>
    <mergeCell ref="AA125:AB125"/>
    <mergeCell ref="B124:B126"/>
    <mergeCell ref="C124:H124"/>
    <mergeCell ref="K124:K126"/>
    <mergeCell ref="L124:Q124"/>
    <mergeCell ref="T124:T126"/>
    <mergeCell ref="U124:AB124"/>
    <mergeCell ref="C125:C126"/>
    <mergeCell ref="D125:D126"/>
    <mergeCell ref="E125:F126"/>
    <mergeCell ref="M125:M126"/>
    <mergeCell ref="E127:F127"/>
    <mergeCell ref="N127:O127"/>
    <mergeCell ref="W127:X127"/>
    <mergeCell ref="E128:F128"/>
    <mergeCell ref="N128:O128"/>
    <mergeCell ref="E129:F129"/>
    <mergeCell ref="N129:O129"/>
    <mergeCell ref="N125:O126"/>
    <mergeCell ref="U125:U126"/>
    <mergeCell ref="V125:V126"/>
    <mergeCell ref="W125:X126"/>
    <mergeCell ref="E133:F133"/>
    <mergeCell ref="N133:O133"/>
    <mergeCell ref="E134:F134"/>
    <mergeCell ref="N134:O134"/>
    <mergeCell ref="E135:F135"/>
    <mergeCell ref="N135:O135"/>
    <mergeCell ref="E130:F130"/>
    <mergeCell ref="N130:O130"/>
    <mergeCell ref="E131:F131"/>
    <mergeCell ref="N131:O131"/>
    <mergeCell ref="E132:F132"/>
    <mergeCell ref="N132:O132"/>
    <mergeCell ref="E136:F136"/>
    <mergeCell ref="N136:O136"/>
    <mergeCell ref="T137:T140"/>
    <mergeCell ref="U137:U140"/>
    <mergeCell ref="V137:V140"/>
    <mergeCell ref="W137:X137"/>
    <mergeCell ref="W138:X138"/>
    <mergeCell ref="W139:X139"/>
    <mergeCell ref="W140:X140"/>
    <mergeCell ref="D146:H146"/>
    <mergeCell ref="M146:Q146"/>
    <mergeCell ref="V146:AB146"/>
    <mergeCell ref="D147:H147"/>
    <mergeCell ref="M147:Q147"/>
    <mergeCell ref="V147:AB147"/>
    <mergeCell ref="B142:H142"/>
    <mergeCell ref="K142:Q142"/>
    <mergeCell ref="T142:AB142"/>
    <mergeCell ref="T143:AB143"/>
    <mergeCell ref="D145:H145"/>
    <mergeCell ref="M145:Q145"/>
    <mergeCell ref="V145:AB145"/>
    <mergeCell ref="B152:B155"/>
    <mergeCell ref="C152:H152"/>
    <mergeCell ref="K152:K155"/>
    <mergeCell ref="L152:Q152"/>
    <mergeCell ref="T152:T155"/>
    <mergeCell ref="U152:AB152"/>
    <mergeCell ref="C153:C155"/>
    <mergeCell ref="D148:H148"/>
    <mergeCell ref="M148:Q148"/>
    <mergeCell ref="V148:AB148"/>
    <mergeCell ref="D149:H149"/>
    <mergeCell ref="M149:Q149"/>
    <mergeCell ref="V149:AB149"/>
    <mergeCell ref="D153:D155"/>
    <mergeCell ref="E153:F153"/>
    <mergeCell ref="G153:H153"/>
    <mergeCell ref="L153:L155"/>
    <mergeCell ref="M153:M155"/>
    <mergeCell ref="N153:O153"/>
    <mergeCell ref="D150:H150"/>
    <mergeCell ref="M150:Q150"/>
    <mergeCell ref="V150:AB150"/>
    <mergeCell ref="AG174:AG175"/>
    <mergeCell ref="AH174:AH175"/>
    <mergeCell ref="AG182:AG183"/>
    <mergeCell ref="AH182:AH183"/>
    <mergeCell ref="AG184:AG185"/>
    <mergeCell ref="AH184:AH185"/>
    <mergeCell ref="P153:Q153"/>
    <mergeCell ref="U153:U155"/>
    <mergeCell ref="V153:V155"/>
    <mergeCell ref="W153:Y153"/>
    <mergeCell ref="Z153:AB153"/>
    <mergeCell ref="Y195:Z195"/>
    <mergeCell ref="AA195:AB195"/>
    <mergeCell ref="B194:B196"/>
    <mergeCell ref="C194:H194"/>
    <mergeCell ref="K194:K196"/>
    <mergeCell ref="L194:Q194"/>
    <mergeCell ref="T194:T196"/>
    <mergeCell ref="U194:AB194"/>
    <mergeCell ref="C195:C196"/>
    <mergeCell ref="D195:D196"/>
    <mergeCell ref="E195:F196"/>
    <mergeCell ref="M195:M196"/>
    <mergeCell ref="E197:F197"/>
    <mergeCell ref="N197:O197"/>
    <mergeCell ref="W197:X197"/>
    <mergeCell ref="E198:F198"/>
    <mergeCell ref="N198:O198"/>
    <mergeCell ref="E199:F199"/>
    <mergeCell ref="N199:O199"/>
    <mergeCell ref="N195:O196"/>
    <mergeCell ref="U195:U196"/>
    <mergeCell ref="V195:V196"/>
    <mergeCell ref="W195:X196"/>
    <mergeCell ref="E203:F203"/>
    <mergeCell ref="N203:O203"/>
    <mergeCell ref="E204:F204"/>
    <mergeCell ref="N204:O204"/>
    <mergeCell ref="E205:F205"/>
    <mergeCell ref="N205:O205"/>
    <mergeCell ref="E200:F200"/>
    <mergeCell ref="N200:O200"/>
    <mergeCell ref="E201:F201"/>
    <mergeCell ref="N201:O201"/>
    <mergeCell ref="E202:F202"/>
    <mergeCell ref="N202:O202"/>
    <mergeCell ref="E206:F206"/>
    <mergeCell ref="N206:O206"/>
    <mergeCell ref="T207:T210"/>
    <mergeCell ref="U207:U210"/>
    <mergeCell ref="V207:V210"/>
    <mergeCell ref="W207:X207"/>
    <mergeCell ref="W208:X208"/>
    <mergeCell ref="W209:X209"/>
    <mergeCell ref="W210:X210"/>
    <mergeCell ref="D216:H216"/>
    <mergeCell ref="M216:Q216"/>
    <mergeCell ref="V216:AB216"/>
    <mergeCell ref="D217:H217"/>
    <mergeCell ref="M217:Q217"/>
    <mergeCell ref="V217:AB217"/>
    <mergeCell ref="B212:H212"/>
    <mergeCell ref="K212:Q212"/>
    <mergeCell ref="T212:AB212"/>
    <mergeCell ref="T213:AB213"/>
    <mergeCell ref="D215:H215"/>
    <mergeCell ref="M215:Q215"/>
    <mergeCell ref="V215:AB215"/>
    <mergeCell ref="B222:B225"/>
    <mergeCell ref="C222:H222"/>
    <mergeCell ref="K222:K225"/>
    <mergeCell ref="L222:Q222"/>
    <mergeCell ref="T222:T225"/>
    <mergeCell ref="U222:AB222"/>
    <mergeCell ref="C223:C225"/>
    <mergeCell ref="D218:H218"/>
    <mergeCell ref="M218:Q218"/>
    <mergeCell ref="V218:AB218"/>
    <mergeCell ref="D219:H219"/>
    <mergeCell ref="M219:Q219"/>
    <mergeCell ref="V219:AB219"/>
    <mergeCell ref="D223:D225"/>
    <mergeCell ref="E223:F223"/>
    <mergeCell ref="G223:H223"/>
    <mergeCell ref="L223:L225"/>
    <mergeCell ref="M223:M225"/>
    <mergeCell ref="N223:O223"/>
    <mergeCell ref="D220:H220"/>
    <mergeCell ref="M220:Q220"/>
    <mergeCell ref="V220:AB220"/>
    <mergeCell ref="AG244:AG245"/>
    <mergeCell ref="AH244:AH245"/>
    <mergeCell ref="AG252:AG253"/>
    <mergeCell ref="AH252:AH253"/>
    <mergeCell ref="AG254:AG255"/>
    <mergeCell ref="AH254:AH255"/>
    <mergeCell ref="P223:Q223"/>
    <mergeCell ref="U223:U225"/>
    <mergeCell ref="V223:V225"/>
    <mergeCell ref="W223:Y223"/>
    <mergeCell ref="Z223:AB223"/>
    <mergeCell ref="Y265:Z265"/>
    <mergeCell ref="AA265:AB265"/>
    <mergeCell ref="B264:B266"/>
    <mergeCell ref="C264:H264"/>
    <mergeCell ref="K264:K266"/>
    <mergeCell ref="L264:Q264"/>
    <mergeCell ref="T264:T266"/>
    <mergeCell ref="U264:AB264"/>
    <mergeCell ref="C265:C266"/>
    <mergeCell ref="D265:D266"/>
    <mergeCell ref="E265:F266"/>
    <mergeCell ref="M265:M266"/>
    <mergeCell ref="E267:F267"/>
    <mergeCell ref="N267:O267"/>
    <mergeCell ref="W267:X267"/>
    <mergeCell ref="E268:F268"/>
    <mergeCell ref="N268:O268"/>
    <mergeCell ref="E269:F269"/>
    <mergeCell ref="N269:O269"/>
    <mergeCell ref="N265:O266"/>
    <mergeCell ref="U265:U266"/>
    <mergeCell ref="V265:V266"/>
    <mergeCell ref="W265:X266"/>
    <mergeCell ref="E273:F273"/>
    <mergeCell ref="N273:O273"/>
    <mergeCell ref="E274:F274"/>
    <mergeCell ref="N274:O274"/>
    <mergeCell ref="E275:F275"/>
    <mergeCell ref="N275:O275"/>
    <mergeCell ref="E270:F270"/>
    <mergeCell ref="N270:O270"/>
    <mergeCell ref="E271:F271"/>
    <mergeCell ref="N271:O271"/>
    <mergeCell ref="E272:F272"/>
    <mergeCell ref="N272:O272"/>
    <mergeCell ref="E276:F276"/>
    <mergeCell ref="N276:O276"/>
    <mergeCell ref="T277:T280"/>
    <mergeCell ref="U277:U280"/>
    <mergeCell ref="V277:V280"/>
    <mergeCell ref="W277:X277"/>
    <mergeCell ref="W278:X278"/>
    <mergeCell ref="W279:X279"/>
    <mergeCell ref="W280:X280"/>
    <mergeCell ref="D286:H286"/>
    <mergeCell ref="M286:Q286"/>
    <mergeCell ref="V286:AB286"/>
    <mergeCell ref="D287:H287"/>
    <mergeCell ref="M287:Q287"/>
    <mergeCell ref="V287:AB287"/>
    <mergeCell ref="B282:H282"/>
    <mergeCell ref="K282:Q282"/>
    <mergeCell ref="T282:AB282"/>
    <mergeCell ref="T283:AB283"/>
    <mergeCell ref="D285:H285"/>
    <mergeCell ref="M285:Q285"/>
    <mergeCell ref="V285:AB285"/>
    <mergeCell ref="B292:B295"/>
    <mergeCell ref="C292:H292"/>
    <mergeCell ref="K292:K295"/>
    <mergeCell ref="L292:Q292"/>
    <mergeCell ref="T292:T295"/>
    <mergeCell ref="U292:AB292"/>
    <mergeCell ref="C293:C295"/>
    <mergeCell ref="D288:H288"/>
    <mergeCell ref="M288:Q288"/>
    <mergeCell ref="V288:AB288"/>
    <mergeCell ref="D289:H289"/>
    <mergeCell ref="M289:Q289"/>
    <mergeCell ref="V289:AB289"/>
    <mergeCell ref="D293:D295"/>
    <mergeCell ref="E293:F293"/>
    <mergeCell ref="G293:H293"/>
    <mergeCell ref="L293:L295"/>
    <mergeCell ref="M293:M295"/>
    <mergeCell ref="N293:O293"/>
    <mergeCell ref="D290:H290"/>
    <mergeCell ref="M290:Q290"/>
    <mergeCell ref="V290:AB290"/>
    <mergeCell ref="AG314:AG315"/>
    <mergeCell ref="AH314:AH315"/>
    <mergeCell ref="AG322:AG323"/>
    <mergeCell ref="AH322:AH323"/>
    <mergeCell ref="AG324:AG325"/>
    <mergeCell ref="AH324:AH325"/>
    <mergeCell ref="P293:Q293"/>
    <mergeCell ref="U293:U295"/>
    <mergeCell ref="V293:V295"/>
    <mergeCell ref="W293:Y293"/>
    <mergeCell ref="Z293:AB293"/>
    <mergeCell ref="Y335:Z335"/>
    <mergeCell ref="AA335:AB335"/>
    <mergeCell ref="B334:B336"/>
    <mergeCell ref="C334:H334"/>
    <mergeCell ref="K334:K336"/>
    <mergeCell ref="L334:Q334"/>
    <mergeCell ref="T334:T336"/>
    <mergeCell ref="U334:AB334"/>
    <mergeCell ref="C335:C336"/>
    <mergeCell ref="D335:D336"/>
    <mergeCell ref="E335:F336"/>
    <mergeCell ref="M335:M336"/>
    <mergeCell ref="E337:F337"/>
    <mergeCell ref="N337:O337"/>
    <mergeCell ref="W337:X337"/>
    <mergeCell ref="E338:F338"/>
    <mergeCell ref="N338:O338"/>
    <mergeCell ref="E339:F339"/>
    <mergeCell ref="N339:O339"/>
    <mergeCell ref="N335:O336"/>
    <mergeCell ref="U335:U336"/>
    <mergeCell ref="V335:V336"/>
    <mergeCell ref="W335:X336"/>
    <mergeCell ref="E343:F343"/>
    <mergeCell ref="N343:O343"/>
    <mergeCell ref="E344:F344"/>
    <mergeCell ref="N344:O344"/>
    <mergeCell ref="E345:F345"/>
    <mergeCell ref="N345:O345"/>
    <mergeCell ref="E340:F340"/>
    <mergeCell ref="N340:O340"/>
    <mergeCell ref="E341:F341"/>
    <mergeCell ref="N341:O341"/>
    <mergeCell ref="E342:F342"/>
    <mergeCell ref="N342:O342"/>
    <mergeCell ref="E346:F346"/>
    <mergeCell ref="N346:O346"/>
    <mergeCell ref="T347:T350"/>
    <mergeCell ref="U347:U350"/>
    <mergeCell ref="V347:V350"/>
    <mergeCell ref="W347:X347"/>
    <mergeCell ref="W348:X348"/>
    <mergeCell ref="W349:X349"/>
    <mergeCell ref="W350:X350"/>
    <mergeCell ref="D356:H356"/>
    <mergeCell ref="M356:Q356"/>
    <mergeCell ref="V356:AB356"/>
    <mergeCell ref="D357:H357"/>
    <mergeCell ref="M357:Q357"/>
    <mergeCell ref="V357:AB357"/>
    <mergeCell ref="B352:H352"/>
    <mergeCell ref="K352:Q352"/>
    <mergeCell ref="T352:AB352"/>
    <mergeCell ref="T353:AB353"/>
    <mergeCell ref="D355:H355"/>
    <mergeCell ref="M355:Q355"/>
    <mergeCell ref="V355:AB355"/>
    <mergeCell ref="B362:B365"/>
    <mergeCell ref="C362:H362"/>
    <mergeCell ref="K362:K365"/>
    <mergeCell ref="L362:Q362"/>
    <mergeCell ref="T362:T365"/>
    <mergeCell ref="U362:AB362"/>
    <mergeCell ref="C363:C365"/>
    <mergeCell ref="D358:H358"/>
    <mergeCell ref="M358:Q358"/>
    <mergeCell ref="V358:AB358"/>
    <mergeCell ref="D359:H359"/>
    <mergeCell ref="M359:Q359"/>
    <mergeCell ref="V359:AB359"/>
    <mergeCell ref="D363:D365"/>
    <mergeCell ref="E363:F363"/>
    <mergeCell ref="G363:H363"/>
    <mergeCell ref="L363:L365"/>
    <mergeCell ref="M363:M365"/>
    <mergeCell ref="N363:O363"/>
    <mergeCell ref="D360:H360"/>
    <mergeCell ref="M360:Q360"/>
    <mergeCell ref="V360:AB360"/>
    <mergeCell ref="AG384:AG385"/>
    <mergeCell ref="AH384:AH385"/>
    <mergeCell ref="AG392:AG393"/>
    <mergeCell ref="AH392:AH393"/>
    <mergeCell ref="AG394:AG395"/>
    <mergeCell ref="AH394:AH395"/>
    <mergeCell ref="P363:Q363"/>
    <mergeCell ref="U363:U365"/>
    <mergeCell ref="V363:V365"/>
    <mergeCell ref="W363:Y363"/>
    <mergeCell ref="Z363:AB363"/>
    <mergeCell ref="Y405:Z405"/>
    <mergeCell ref="AA405:AB405"/>
    <mergeCell ref="B404:B406"/>
    <mergeCell ref="C404:H404"/>
    <mergeCell ref="K404:K406"/>
    <mergeCell ref="L404:Q404"/>
    <mergeCell ref="T404:T406"/>
    <mergeCell ref="U404:AB404"/>
    <mergeCell ref="C405:C406"/>
    <mergeCell ref="D405:D406"/>
    <mergeCell ref="E405:F406"/>
    <mergeCell ref="M405:M406"/>
    <mergeCell ref="E407:F407"/>
    <mergeCell ref="N407:O407"/>
    <mergeCell ref="W407:X407"/>
    <mergeCell ref="E408:F408"/>
    <mergeCell ref="N408:O408"/>
    <mergeCell ref="E409:F409"/>
    <mergeCell ref="N409:O409"/>
    <mergeCell ref="N405:O406"/>
    <mergeCell ref="U405:U406"/>
    <mergeCell ref="V405:V406"/>
    <mergeCell ref="W405:X406"/>
    <mergeCell ref="E413:F413"/>
    <mergeCell ref="N413:O413"/>
    <mergeCell ref="E414:F414"/>
    <mergeCell ref="N414:O414"/>
    <mergeCell ref="E415:F415"/>
    <mergeCell ref="N415:O415"/>
    <mergeCell ref="E410:F410"/>
    <mergeCell ref="N410:O410"/>
    <mergeCell ref="E411:F411"/>
    <mergeCell ref="N411:O411"/>
    <mergeCell ref="E412:F412"/>
    <mergeCell ref="N412:O412"/>
    <mergeCell ref="E416:F416"/>
    <mergeCell ref="N416:O416"/>
    <mergeCell ref="T417:T420"/>
    <mergeCell ref="U417:U420"/>
    <mergeCell ref="V417:V420"/>
    <mergeCell ref="W417:X417"/>
    <mergeCell ref="W418:X418"/>
    <mergeCell ref="W419:X419"/>
    <mergeCell ref="W420:X420"/>
    <mergeCell ref="D426:H426"/>
    <mergeCell ref="M426:Q426"/>
    <mergeCell ref="V426:AB426"/>
    <mergeCell ref="D427:H427"/>
    <mergeCell ref="M427:Q427"/>
    <mergeCell ref="V427:AB427"/>
    <mergeCell ref="B422:H422"/>
    <mergeCell ref="K422:Q422"/>
    <mergeCell ref="T422:AB422"/>
    <mergeCell ref="T423:AB423"/>
    <mergeCell ref="D425:H425"/>
    <mergeCell ref="M425:Q425"/>
    <mergeCell ref="V425:AB425"/>
    <mergeCell ref="B432:B435"/>
    <mergeCell ref="C432:H432"/>
    <mergeCell ref="K432:K435"/>
    <mergeCell ref="L432:Q432"/>
    <mergeCell ref="T432:T435"/>
    <mergeCell ref="U432:AB432"/>
    <mergeCell ref="C433:C435"/>
    <mergeCell ref="D428:H428"/>
    <mergeCell ref="M428:Q428"/>
    <mergeCell ref="V428:AB428"/>
    <mergeCell ref="D429:H429"/>
    <mergeCell ref="M429:Q429"/>
    <mergeCell ref="V429:AB429"/>
    <mergeCell ref="D433:D435"/>
    <mergeCell ref="E433:F433"/>
    <mergeCell ref="G433:H433"/>
    <mergeCell ref="L433:L435"/>
    <mergeCell ref="M433:M435"/>
    <mergeCell ref="N433:O433"/>
    <mergeCell ref="D430:H430"/>
    <mergeCell ref="M430:Q430"/>
    <mergeCell ref="V430:AB430"/>
    <mergeCell ref="AG454:AG455"/>
    <mergeCell ref="AH454:AH455"/>
    <mergeCell ref="AG462:AG463"/>
    <mergeCell ref="AH462:AH463"/>
    <mergeCell ref="AG464:AG465"/>
    <mergeCell ref="AH464:AH465"/>
    <mergeCell ref="P433:Q433"/>
    <mergeCell ref="U433:U435"/>
    <mergeCell ref="V433:V435"/>
    <mergeCell ref="W433:Y433"/>
    <mergeCell ref="Z433:AB433"/>
    <mergeCell ref="Y475:Z475"/>
    <mergeCell ref="AA475:AB475"/>
    <mergeCell ref="B474:B476"/>
    <mergeCell ref="C474:H474"/>
    <mergeCell ref="K474:K476"/>
    <mergeCell ref="L474:Q474"/>
    <mergeCell ref="T474:T476"/>
    <mergeCell ref="U474:AB474"/>
    <mergeCell ref="C475:C476"/>
    <mergeCell ref="D475:D476"/>
    <mergeCell ref="E475:F476"/>
    <mergeCell ref="M475:M476"/>
    <mergeCell ref="E477:F477"/>
    <mergeCell ref="N477:O477"/>
    <mergeCell ref="W477:X477"/>
    <mergeCell ref="E478:F478"/>
    <mergeCell ref="N478:O478"/>
    <mergeCell ref="E479:F479"/>
    <mergeCell ref="N479:O479"/>
    <mergeCell ref="N475:O476"/>
    <mergeCell ref="U475:U476"/>
    <mergeCell ref="V475:V476"/>
    <mergeCell ref="W475:X476"/>
    <mergeCell ref="E483:F483"/>
    <mergeCell ref="N483:O483"/>
    <mergeCell ref="E484:F484"/>
    <mergeCell ref="N484:O484"/>
    <mergeCell ref="E485:F485"/>
    <mergeCell ref="N485:O485"/>
    <mergeCell ref="E480:F480"/>
    <mergeCell ref="N480:O480"/>
    <mergeCell ref="E481:F481"/>
    <mergeCell ref="N481:O481"/>
    <mergeCell ref="E482:F482"/>
    <mergeCell ref="N482:O482"/>
    <mergeCell ref="E486:F486"/>
    <mergeCell ref="N486:O486"/>
    <mergeCell ref="T487:T490"/>
    <mergeCell ref="U487:U490"/>
    <mergeCell ref="V487:V490"/>
    <mergeCell ref="W487:X487"/>
    <mergeCell ref="W488:X488"/>
    <mergeCell ref="W489:X489"/>
    <mergeCell ref="W490:X490"/>
    <mergeCell ref="D496:H496"/>
    <mergeCell ref="M496:Q496"/>
    <mergeCell ref="V496:AB496"/>
    <mergeCell ref="D497:H497"/>
    <mergeCell ref="M497:Q497"/>
    <mergeCell ref="V497:AB497"/>
    <mergeCell ref="B492:H492"/>
    <mergeCell ref="K492:Q492"/>
    <mergeCell ref="T492:AB492"/>
    <mergeCell ref="T493:AB493"/>
    <mergeCell ref="D495:H495"/>
    <mergeCell ref="M495:Q495"/>
    <mergeCell ref="V495:AB495"/>
    <mergeCell ref="B502:B505"/>
    <mergeCell ref="C502:H502"/>
    <mergeCell ref="K502:K505"/>
    <mergeCell ref="L502:Q502"/>
    <mergeCell ref="T502:T505"/>
    <mergeCell ref="U502:AB502"/>
    <mergeCell ref="C503:C505"/>
    <mergeCell ref="D498:H498"/>
    <mergeCell ref="M498:Q498"/>
    <mergeCell ref="V498:AB498"/>
    <mergeCell ref="D499:H499"/>
    <mergeCell ref="M499:Q499"/>
    <mergeCell ref="V499:AB499"/>
    <mergeCell ref="D503:D505"/>
    <mergeCell ref="E503:F503"/>
    <mergeCell ref="G503:H503"/>
    <mergeCell ref="L503:L505"/>
    <mergeCell ref="M503:M505"/>
    <mergeCell ref="N503:O503"/>
    <mergeCell ref="D500:H500"/>
    <mergeCell ref="M500:Q500"/>
    <mergeCell ref="V500:AB500"/>
    <mergeCell ref="AG524:AG525"/>
    <mergeCell ref="AH524:AH525"/>
    <mergeCell ref="AG532:AG533"/>
    <mergeCell ref="AH532:AH533"/>
    <mergeCell ref="AG534:AG535"/>
    <mergeCell ref="AH534:AH535"/>
    <mergeCell ref="P503:Q503"/>
    <mergeCell ref="U503:U505"/>
    <mergeCell ref="V503:V505"/>
    <mergeCell ref="W503:Y503"/>
    <mergeCell ref="Z503:AB503"/>
    <mergeCell ref="Y545:Z545"/>
    <mergeCell ref="AA545:AB545"/>
    <mergeCell ref="B544:B546"/>
    <mergeCell ref="C544:H544"/>
    <mergeCell ref="K544:K546"/>
    <mergeCell ref="L544:Q544"/>
    <mergeCell ref="T544:T546"/>
    <mergeCell ref="U544:AB544"/>
    <mergeCell ref="C545:C546"/>
    <mergeCell ref="D545:D546"/>
    <mergeCell ref="E545:F546"/>
    <mergeCell ref="M545:M546"/>
    <mergeCell ref="E547:F547"/>
    <mergeCell ref="N547:O547"/>
    <mergeCell ref="W547:X547"/>
    <mergeCell ref="E548:F548"/>
    <mergeCell ref="N548:O548"/>
    <mergeCell ref="E549:F549"/>
    <mergeCell ref="N549:O549"/>
    <mergeCell ref="N545:O546"/>
    <mergeCell ref="U545:U546"/>
    <mergeCell ref="V545:V546"/>
    <mergeCell ref="W545:X546"/>
    <mergeCell ref="E553:F553"/>
    <mergeCell ref="N553:O553"/>
    <mergeCell ref="E554:F554"/>
    <mergeCell ref="N554:O554"/>
    <mergeCell ref="E555:F555"/>
    <mergeCell ref="N555:O555"/>
    <mergeCell ref="E550:F550"/>
    <mergeCell ref="N550:O550"/>
    <mergeCell ref="E551:F551"/>
    <mergeCell ref="N551:O551"/>
    <mergeCell ref="E552:F552"/>
    <mergeCell ref="N552:O552"/>
    <mergeCell ref="E556:F556"/>
    <mergeCell ref="N556:O556"/>
    <mergeCell ref="T557:T560"/>
    <mergeCell ref="U557:U560"/>
    <mergeCell ref="V557:V560"/>
    <mergeCell ref="W557:X557"/>
    <mergeCell ref="W558:X558"/>
    <mergeCell ref="W559:X559"/>
    <mergeCell ref="W560:X560"/>
    <mergeCell ref="D566:H566"/>
    <mergeCell ref="M566:Q566"/>
    <mergeCell ref="V566:AB566"/>
    <mergeCell ref="D567:H567"/>
    <mergeCell ref="M567:Q567"/>
    <mergeCell ref="V567:AB567"/>
    <mergeCell ref="B562:H562"/>
    <mergeCell ref="K562:Q562"/>
    <mergeCell ref="T562:AB562"/>
    <mergeCell ref="T563:AB563"/>
    <mergeCell ref="D565:H565"/>
    <mergeCell ref="M565:Q565"/>
    <mergeCell ref="V565:AB565"/>
    <mergeCell ref="B572:B575"/>
    <mergeCell ref="C572:H572"/>
    <mergeCell ref="K572:K575"/>
    <mergeCell ref="L572:Q572"/>
    <mergeCell ref="T572:T575"/>
    <mergeCell ref="U572:AB572"/>
    <mergeCell ref="C573:C575"/>
    <mergeCell ref="D568:H568"/>
    <mergeCell ref="M568:Q568"/>
    <mergeCell ref="V568:AB568"/>
    <mergeCell ref="D569:H569"/>
    <mergeCell ref="M569:Q569"/>
    <mergeCell ref="V569:AB569"/>
    <mergeCell ref="D573:D575"/>
    <mergeCell ref="E573:F573"/>
    <mergeCell ref="G573:H573"/>
    <mergeCell ref="L573:L575"/>
    <mergeCell ref="M573:M575"/>
    <mergeCell ref="N573:O573"/>
    <mergeCell ref="D570:H570"/>
    <mergeCell ref="M570:Q570"/>
    <mergeCell ref="V570:AB570"/>
    <mergeCell ref="AG594:AG595"/>
    <mergeCell ref="AH594:AH595"/>
    <mergeCell ref="AG602:AG603"/>
    <mergeCell ref="AH602:AH603"/>
    <mergeCell ref="AG604:AG605"/>
    <mergeCell ref="AH604:AH605"/>
    <mergeCell ref="P573:Q573"/>
    <mergeCell ref="U573:U575"/>
    <mergeCell ref="V573:V575"/>
    <mergeCell ref="W573:Y573"/>
    <mergeCell ref="Z573:AB573"/>
    <mergeCell ref="Y615:Z615"/>
    <mergeCell ref="AA615:AB615"/>
    <mergeCell ref="B614:B616"/>
    <mergeCell ref="C614:H614"/>
    <mergeCell ref="K614:K616"/>
    <mergeCell ref="L614:Q614"/>
    <mergeCell ref="T614:T616"/>
    <mergeCell ref="U614:AB614"/>
    <mergeCell ref="C615:C616"/>
    <mergeCell ref="D615:D616"/>
    <mergeCell ref="E615:F616"/>
    <mergeCell ref="M615:M616"/>
    <mergeCell ref="E617:F617"/>
    <mergeCell ref="N617:O617"/>
    <mergeCell ref="W617:X617"/>
    <mergeCell ref="E618:F618"/>
    <mergeCell ref="N618:O618"/>
    <mergeCell ref="E619:F619"/>
    <mergeCell ref="N619:O619"/>
    <mergeCell ref="N615:O616"/>
    <mergeCell ref="U615:U616"/>
    <mergeCell ref="V615:V616"/>
    <mergeCell ref="W615:X616"/>
    <mergeCell ref="E623:F623"/>
    <mergeCell ref="N623:O623"/>
    <mergeCell ref="E624:F624"/>
    <mergeCell ref="N624:O624"/>
    <mergeCell ref="E625:F625"/>
    <mergeCell ref="N625:O625"/>
    <mergeCell ref="E620:F620"/>
    <mergeCell ref="N620:O620"/>
    <mergeCell ref="E621:F621"/>
    <mergeCell ref="N621:O621"/>
    <mergeCell ref="E622:F622"/>
    <mergeCell ref="N622:O622"/>
    <mergeCell ref="E626:F626"/>
    <mergeCell ref="N626:O626"/>
    <mergeCell ref="T627:T630"/>
    <mergeCell ref="U627:U630"/>
    <mergeCell ref="V627:V630"/>
    <mergeCell ref="W627:X627"/>
    <mergeCell ref="W628:X628"/>
    <mergeCell ref="W629:X629"/>
    <mergeCell ref="W630:X630"/>
    <mergeCell ref="D636:H636"/>
    <mergeCell ref="M636:Q636"/>
    <mergeCell ref="V636:AB636"/>
    <mergeCell ref="D637:H637"/>
    <mergeCell ref="M637:Q637"/>
    <mergeCell ref="V637:AB637"/>
    <mergeCell ref="B632:H632"/>
    <mergeCell ref="K632:Q632"/>
    <mergeCell ref="T632:AB632"/>
    <mergeCell ref="T633:AB633"/>
    <mergeCell ref="D635:H635"/>
    <mergeCell ref="M635:Q635"/>
    <mergeCell ref="V635:AB635"/>
    <mergeCell ref="B642:B645"/>
    <mergeCell ref="C642:H642"/>
    <mergeCell ref="K642:K645"/>
    <mergeCell ref="L642:Q642"/>
    <mergeCell ref="T642:T645"/>
    <mergeCell ref="U642:AB642"/>
    <mergeCell ref="C643:C645"/>
    <mergeCell ref="D638:H638"/>
    <mergeCell ref="M638:Q638"/>
    <mergeCell ref="V638:AB638"/>
    <mergeCell ref="D639:H639"/>
    <mergeCell ref="M639:Q639"/>
    <mergeCell ref="V639:AB639"/>
    <mergeCell ref="D643:D645"/>
    <mergeCell ref="E643:F643"/>
    <mergeCell ref="G643:H643"/>
    <mergeCell ref="L643:L645"/>
    <mergeCell ref="M643:M645"/>
    <mergeCell ref="N643:O643"/>
    <mergeCell ref="D640:H640"/>
    <mergeCell ref="M640:Q640"/>
    <mergeCell ref="V640:AB640"/>
    <mergeCell ref="AG664:AG665"/>
    <mergeCell ref="AH664:AH665"/>
    <mergeCell ref="AG672:AG673"/>
    <mergeCell ref="AH672:AH673"/>
    <mergeCell ref="AG674:AG675"/>
    <mergeCell ref="AH674:AH675"/>
    <mergeCell ref="P643:Q643"/>
    <mergeCell ref="U643:U645"/>
    <mergeCell ref="V643:V645"/>
    <mergeCell ref="W643:Y643"/>
    <mergeCell ref="Z643:AB643"/>
    <mergeCell ref="Y685:Z685"/>
    <mergeCell ref="AA685:AB685"/>
    <mergeCell ref="B684:B686"/>
    <mergeCell ref="C684:H684"/>
    <mergeCell ref="K684:K686"/>
    <mergeCell ref="L684:Q684"/>
    <mergeCell ref="T684:T686"/>
    <mergeCell ref="U684:AB684"/>
    <mergeCell ref="C685:C686"/>
    <mergeCell ref="D685:D686"/>
    <mergeCell ref="E685:F686"/>
    <mergeCell ref="M685:M686"/>
    <mergeCell ref="E687:F687"/>
    <mergeCell ref="N687:O687"/>
    <mergeCell ref="W687:X687"/>
    <mergeCell ref="E688:F688"/>
    <mergeCell ref="N688:O688"/>
    <mergeCell ref="E689:F689"/>
    <mergeCell ref="N689:O689"/>
    <mergeCell ref="N685:O686"/>
    <mergeCell ref="U685:U686"/>
    <mergeCell ref="V685:V686"/>
    <mergeCell ref="W685:X686"/>
    <mergeCell ref="E693:F693"/>
    <mergeCell ref="N693:O693"/>
    <mergeCell ref="E694:F694"/>
    <mergeCell ref="N694:O694"/>
    <mergeCell ref="E695:F695"/>
    <mergeCell ref="N695:O695"/>
    <mergeCell ref="E690:F690"/>
    <mergeCell ref="N690:O690"/>
    <mergeCell ref="E691:F691"/>
    <mergeCell ref="N691:O691"/>
    <mergeCell ref="E692:F692"/>
    <mergeCell ref="N692:O692"/>
    <mergeCell ref="E696:F696"/>
    <mergeCell ref="N696:O696"/>
    <mergeCell ref="T697:T700"/>
    <mergeCell ref="U697:U700"/>
    <mergeCell ref="V697:V700"/>
    <mergeCell ref="W697:X697"/>
    <mergeCell ref="W698:X698"/>
    <mergeCell ref="W699:X699"/>
    <mergeCell ref="W700:X700"/>
    <mergeCell ref="D706:H706"/>
    <mergeCell ref="M706:Q706"/>
    <mergeCell ref="V706:AB706"/>
    <mergeCell ref="D707:H707"/>
    <mergeCell ref="M707:Q707"/>
    <mergeCell ref="V707:AB707"/>
    <mergeCell ref="B702:H702"/>
    <mergeCell ref="K702:Q702"/>
    <mergeCell ref="T702:AB702"/>
    <mergeCell ref="T703:AB703"/>
    <mergeCell ref="D705:H705"/>
    <mergeCell ref="M705:Q705"/>
    <mergeCell ref="V705:AB705"/>
    <mergeCell ref="B712:B715"/>
    <mergeCell ref="C712:H712"/>
    <mergeCell ref="K712:K715"/>
    <mergeCell ref="L712:Q712"/>
    <mergeCell ref="T712:T715"/>
    <mergeCell ref="U712:AB712"/>
    <mergeCell ref="C713:C715"/>
    <mergeCell ref="D708:H708"/>
    <mergeCell ref="M708:Q708"/>
    <mergeCell ref="V708:AB708"/>
    <mergeCell ref="D709:H709"/>
    <mergeCell ref="M709:Q709"/>
    <mergeCell ref="V709:AB709"/>
    <mergeCell ref="D713:D715"/>
    <mergeCell ref="E713:F713"/>
    <mergeCell ref="G713:H713"/>
    <mergeCell ref="L713:L715"/>
    <mergeCell ref="M713:M715"/>
    <mergeCell ref="N713:O713"/>
    <mergeCell ref="D710:H710"/>
    <mergeCell ref="M710:Q710"/>
    <mergeCell ref="V710:AB710"/>
    <mergeCell ref="AG734:AG735"/>
    <mergeCell ref="AH734:AH735"/>
    <mergeCell ref="AG742:AG743"/>
    <mergeCell ref="AH742:AH743"/>
    <mergeCell ref="AG744:AG745"/>
    <mergeCell ref="AH744:AH745"/>
    <mergeCell ref="P713:Q713"/>
    <mergeCell ref="U713:U715"/>
    <mergeCell ref="V713:V715"/>
    <mergeCell ref="W713:Y713"/>
    <mergeCell ref="Z713:AB713"/>
    <mergeCell ref="Y755:Z755"/>
    <mergeCell ref="AA755:AB755"/>
    <mergeCell ref="B754:B756"/>
    <mergeCell ref="C754:H754"/>
    <mergeCell ref="K754:K756"/>
    <mergeCell ref="L754:Q754"/>
    <mergeCell ref="T754:T756"/>
    <mergeCell ref="U754:AB754"/>
    <mergeCell ref="C755:C756"/>
    <mergeCell ref="D755:D756"/>
    <mergeCell ref="E755:F756"/>
    <mergeCell ref="M755:M756"/>
    <mergeCell ref="E757:F757"/>
    <mergeCell ref="N757:O757"/>
    <mergeCell ref="W757:X757"/>
    <mergeCell ref="E758:F758"/>
    <mergeCell ref="N758:O758"/>
    <mergeCell ref="E759:F759"/>
    <mergeCell ref="N759:O759"/>
    <mergeCell ref="N755:O756"/>
    <mergeCell ref="U755:U756"/>
    <mergeCell ref="V755:V756"/>
    <mergeCell ref="W755:X756"/>
    <mergeCell ref="E763:F763"/>
    <mergeCell ref="N763:O763"/>
    <mergeCell ref="E764:F764"/>
    <mergeCell ref="N764:O764"/>
    <mergeCell ref="E765:F765"/>
    <mergeCell ref="N765:O765"/>
    <mergeCell ref="E760:F760"/>
    <mergeCell ref="N760:O760"/>
    <mergeCell ref="E761:F761"/>
    <mergeCell ref="N761:O761"/>
    <mergeCell ref="E762:F762"/>
    <mergeCell ref="N762:O762"/>
    <mergeCell ref="E766:F766"/>
    <mergeCell ref="N766:O766"/>
    <mergeCell ref="T767:T770"/>
    <mergeCell ref="U767:U770"/>
    <mergeCell ref="V767:V770"/>
    <mergeCell ref="W767:X767"/>
    <mergeCell ref="W768:X768"/>
    <mergeCell ref="W769:X769"/>
    <mergeCell ref="W770:X770"/>
  </mergeCells>
  <pageMargins left="0.70866141732283472" right="0.70866141732283472" top="0.78740157480314965" bottom="0.78740157480314965" header="0.31496062992125984" footer="0.31496062992125984"/>
  <pageSetup paperSize="9" scale="70" orientation="portrait" horizontalDpi="4294967293" verticalDpi="4294967293" r:id="rId1"/>
  <rowBreaks count="10" manualBreakCount="10">
    <brk id="70" max="28" man="1"/>
    <brk id="140" max="28" man="1"/>
    <brk id="210" max="28" man="1"/>
    <brk id="280" max="28" man="1"/>
    <brk id="350" max="28" man="1"/>
    <brk id="420" max="28" man="1"/>
    <brk id="490" max="28" man="1"/>
    <brk id="560" max="28" man="1"/>
    <brk id="630" max="28" man="1"/>
    <brk id="700" max="28" man="1"/>
  </rowBreaks>
  <colBreaks count="3" manualBreakCount="3">
    <brk id="9" max="1048575" man="1"/>
    <brk id="18" max="1048575" man="1"/>
    <brk id="2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tabColor theme="0"/>
  </sheetPr>
  <dimension ref="A1:M112"/>
  <sheetViews>
    <sheetView topLeftCell="A19" zoomScaleNormal="100" workbookViewId="0">
      <selection activeCell="G48" sqref="G48"/>
    </sheetView>
  </sheetViews>
  <sheetFormatPr defaultRowHeight="15" x14ac:dyDescent="0.25"/>
  <cols>
    <col min="1" max="1" width="1.85546875" customWidth="1"/>
    <col min="2" max="2" width="24.85546875" customWidth="1"/>
    <col min="3" max="3" width="9.140625" customWidth="1"/>
  </cols>
  <sheetData>
    <row r="1" spans="1:13" x14ac:dyDescent="0.25">
      <c r="A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x14ac:dyDescent="0.25">
      <c r="A2" s="182"/>
      <c r="B2" s="89" t="s">
        <v>128</v>
      </c>
      <c r="C2" s="243"/>
      <c r="D2" s="243"/>
      <c r="E2" s="29"/>
      <c r="F2" s="243"/>
      <c r="G2" s="243"/>
      <c r="H2" s="182"/>
      <c r="I2" s="182"/>
      <c r="J2" s="182"/>
      <c r="K2" s="182"/>
      <c r="L2" s="182"/>
      <c r="M2" s="182"/>
    </row>
    <row r="3" spans="1:13" x14ac:dyDescent="0.25">
      <c r="A3" s="182"/>
      <c r="B3" s="983" t="s">
        <v>157</v>
      </c>
      <c r="C3" s="984"/>
      <c r="D3" s="984"/>
      <c r="E3" s="984"/>
      <c r="F3" s="984"/>
      <c r="G3" s="984"/>
      <c r="H3" s="984"/>
      <c r="I3" s="984"/>
      <c r="J3" s="985"/>
      <c r="K3" s="182"/>
      <c r="L3" s="182"/>
      <c r="M3" s="182"/>
    </row>
    <row r="4" spans="1:13" x14ac:dyDescent="0.25">
      <c r="A4" s="182"/>
      <c r="B4" s="986" t="s">
        <v>265</v>
      </c>
      <c r="C4" s="987"/>
      <c r="D4" s="987"/>
      <c r="E4" s="987"/>
      <c r="F4" s="987"/>
      <c r="G4" s="987"/>
      <c r="H4" s="987"/>
      <c r="I4" s="987"/>
      <c r="J4" s="988"/>
      <c r="K4" s="182"/>
      <c r="L4" s="182"/>
      <c r="M4" s="182"/>
    </row>
    <row r="5" spans="1:13" x14ac:dyDescent="0.25">
      <c r="A5" s="182"/>
      <c r="B5" s="989" t="s">
        <v>212</v>
      </c>
      <c r="C5" s="990"/>
      <c r="D5" s="990"/>
      <c r="E5" s="990"/>
      <c r="F5" s="990"/>
      <c r="G5" s="990"/>
      <c r="H5" s="990"/>
      <c r="I5" s="990"/>
      <c r="J5" s="991"/>
      <c r="K5" s="182"/>
      <c r="L5" s="182"/>
      <c r="M5" s="182"/>
    </row>
    <row r="6" spans="1:13" x14ac:dyDescent="0.25">
      <c r="A6" s="182"/>
      <c r="B6" s="992" t="s">
        <v>180</v>
      </c>
      <c r="C6" s="993"/>
      <c r="D6" s="993"/>
      <c r="E6" s="993"/>
      <c r="F6" s="993"/>
      <c r="G6" s="993"/>
      <c r="H6" s="993"/>
      <c r="I6" s="993"/>
      <c r="J6" s="994"/>
      <c r="K6" s="182"/>
      <c r="L6" s="182"/>
      <c r="M6" s="182"/>
    </row>
    <row r="7" spans="1:13" x14ac:dyDescent="0.25">
      <c r="A7" s="182"/>
      <c r="B7" s="995" t="s">
        <v>175</v>
      </c>
      <c r="C7" s="996"/>
      <c r="D7" s="996"/>
      <c r="E7" s="996"/>
      <c r="F7" s="996"/>
      <c r="G7" s="996"/>
      <c r="H7" s="996"/>
      <c r="I7" s="996"/>
      <c r="J7" s="997"/>
      <c r="K7" s="182"/>
      <c r="L7" s="182"/>
      <c r="M7" s="182"/>
    </row>
    <row r="8" spans="1:13" x14ac:dyDescent="0.25">
      <c r="A8" s="182"/>
      <c r="B8" s="980" t="s">
        <v>211</v>
      </c>
      <c r="C8" s="981"/>
      <c r="D8" s="981"/>
      <c r="E8" s="981"/>
      <c r="F8" s="981"/>
      <c r="G8" s="981"/>
      <c r="H8" s="981"/>
      <c r="I8" s="981"/>
      <c r="J8" s="982"/>
      <c r="K8" s="182"/>
      <c r="L8" s="182"/>
      <c r="M8" s="182"/>
    </row>
    <row r="9" spans="1:13" x14ac:dyDescent="0.25">
      <c r="A9" s="182"/>
      <c r="B9" s="998" t="s">
        <v>308</v>
      </c>
      <c r="C9" s="999"/>
      <c r="D9" s="999"/>
      <c r="E9" s="999"/>
      <c r="F9" s="999"/>
      <c r="G9" s="999"/>
      <c r="H9" s="999"/>
      <c r="I9" s="999"/>
      <c r="J9" s="1000"/>
      <c r="K9" s="182"/>
      <c r="L9" s="182"/>
      <c r="M9" s="182"/>
    </row>
    <row r="10" spans="1:13" x14ac:dyDescent="0.25">
      <c r="A10" s="182"/>
      <c r="B10" s="977" t="s">
        <v>307</v>
      </c>
      <c r="C10" s="978"/>
      <c r="D10" s="978"/>
      <c r="E10" s="978"/>
      <c r="F10" s="978"/>
      <c r="G10" s="978"/>
      <c r="H10" s="978"/>
      <c r="I10" s="978"/>
      <c r="J10" s="979"/>
      <c r="K10" s="182"/>
      <c r="L10" s="182"/>
      <c r="M10" s="182"/>
    </row>
    <row r="11" spans="1:13" x14ac:dyDescent="0.25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x14ac:dyDescent="0.25">
      <c r="A12" s="182"/>
      <c r="B12" s="89" t="s">
        <v>218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182"/>
    </row>
    <row r="13" spans="1:13" ht="15" customHeight="1" x14ac:dyDescent="0.25">
      <c r="A13" s="182"/>
      <c r="B13" s="504" t="s">
        <v>217</v>
      </c>
      <c r="C13" s="1001" t="s">
        <v>222</v>
      </c>
      <c r="D13" s="1002"/>
      <c r="E13" s="1002"/>
      <c r="F13" s="1002"/>
      <c r="G13" s="1002"/>
      <c r="H13" s="1002"/>
      <c r="I13" s="1002"/>
      <c r="J13" s="1003"/>
      <c r="K13" s="33"/>
      <c r="L13" s="33"/>
      <c r="M13" s="182"/>
    </row>
    <row r="14" spans="1:13" ht="15" customHeight="1" x14ac:dyDescent="0.25">
      <c r="A14" s="182"/>
      <c r="B14" s="504" t="s">
        <v>374</v>
      </c>
      <c r="C14" s="974" t="s">
        <v>375</v>
      </c>
      <c r="D14" s="975"/>
      <c r="E14" s="975"/>
      <c r="F14" s="975"/>
      <c r="G14" s="975"/>
      <c r="H14" s="975"/>
      <c r="I14" s="975"/>
      <c r="J14" s="976"/>
      <c r="K14" s="33"/>
      <c r="L14" s="33"/>
      <c r="M14" s="182"/>
    </row>
    <row r="15" spans="1:13" ht="53.25" customHeight="1" x14ac:dyDescent="0.25">
      <c r="A15" s="182"/>
      <c r="B15" s="504" t="s">
        <v>228</v>
      </c>
      <c r="C15" s="974" t="s">
        <v>373</v>
      </c>
      <c r="D15" s="975"/>
      <c r="E15" s="975"/>
      <c r="F15" s="975"/>
      <c r="G15" s="975"/>
      <c r="H15" s="975"/>
      <c r="I15" s="975"/>
      <c r="J15" s="976"/>
      <c r="K15" s="33"/>
      <c r="L15" s="33"/>
      <c r="M15" s="182"/>
    </row>
    <row r="16" spans="1:13" ht="15" customHeight="1" x14ac:dyDescent="0.25">
      <c r="A16" s="182"/>
      <c r="B16" s="504" t="s">
        <v>335</v>
      </c>
      <c r="C16" s="974" t="s">
        <v>370</v>
      </c>
      <c r="D16" s="975"/>
      <c r="E16" s="975"/>
      <c r="F16" s="975"/>
      <c r="G16" s="975"/>
      <c r="H16" s="975"/>
      <c r="I16" s="975"/>
      <c r="J16" s="976"/>
      <c r="K16" s="33"/>
      <c r="L16" s="33"/>
      <c r="M16" s="182"/>
    </row>
    <row r="17" spans="1:13" ht="15" customHeight="1" x14ac:dyDescent="0.25">
      <c r="A17" s="182"/>
      <c r="B17" s="504" t="s">
        <v>361</v>
      </c>
      <c r="C17" s="974" t="s">
        <v>376</v>
      </c>
      <c r="D17" s="975"/>
      <c r="E17" s="975"/>
      <c r="F17" s="975"/>
      <c r="G17" s="975"/>
      <c r="H17" s="975"/>
      <c r="I17" s="975"/>
      <c r="J17" s="976"/>
      <c r="K17" s="33"/>
      <c r="L17" s="33"/>
      <c r="M17" s="182"/>
    </row>
    <row r="18" spans="1:13" ht="27" customHeight="1" x14ac:dyDescent="0.25">
      <c r="A18" s="182"/>
      <c r="B18" s="504" t="s">
        <v>7</v>
      </c>
      <c r="C18" s="974" t="s">
        <v>396</v>
      </c>
      <c r="D18" s="975"/>
      <c r="E18" s="975"/>
      <c r="F18" s="975"/>
      <c r="G18" s="975"/>
      <c r="H18" s="975"/>
      <c r="I18" s="975"/>
      <c r="J18" s="976"/>
      <c r="K18" s="33"/>
      <c r="L18" s="33"/>
      <c r="M18" s="182"/>
    </row>
    <row r="19" spans="1:13" ht="40.5" customHeight="1" x14ac:dyDescent="0.25">
      <c r="A19" s="182"/>
      <c r="B19" s="504" t="s">
        <v>377</v>
      </c>
      <c r="C19" s="974" t="s">
        <v>378</v>
      </c>
      <c r="D19" s="975"/>
      <c r="E19" s="975"/>
      <c r="F19" s="975"/>
      <c r="G19" s="975"/>
      <c r="H19" s="975"/>
      <c r="I19" s="975"/>
      <c r="J19" s="976"/>
      <c r="K19" s="33"/>
      <c r="L19" s="33"/>
      <c r="M19" s="182"/>
    </row>
    <row r="20" spans="1:13" ht="28.5" customHeight="1" x14ac:dyDescent="0.25">
      <c r="A20" s="182"/>
      <c r="B20" s="504" t="s">
        <v>359</v>
      </c>
      <c r="C20" s="974" t="s">
        <v>371</v>
      </c>
      <c r="D20" s="975"/>
      <c r="E20" s="975"/>
      <c r="F20" s="975"/>
      <c r="G20" s="975"/>
      <c r="H20" s="975"/>
      <c r="I20" s="975"/>
      <c r="J20" s="976"/>
      <c r="K20" s="33"/>
      <c r="L20" s="33"/>
      <c r="M20" s="182"/>
    </row>
    <row r="21" spans="1:13" ht="15" customHeight="1" x14ac:dyDescent="0.25">
      <c r="A21" s="182"/>
      <c r="B21" s="504" t="s">
        <v>319</v>
      </c>
      <c r="C21" s="974" t="s">
        <v>320</v>
      </c>
      <c r="D21" s="975"/>
      <c r="E21" s="975"/>
      <c r="F21" s="975"/>
      <c r="G21" s="975"/>
      <c r="H21" s="975"/>
      <c r="I21" s="975"/>
      <c r="J21" s="976"/>
      <c r="K21" s="33"/>
      <c r="L21" s="33"/>
      <c r="M21" s="182"/>
    </row>
    <row r="22" spans="1:13" ht="15" customHeight="1" x14ac:dyDescent="0.25">
      <c r="A22" s="182"/>
      <c r="B22" s="504" t="s">
        <v>323</v>
      </c>
      <c r="C22" s="974" t="s">
        <v>324</v>
      </c>
      <c r="D22" s="975"/>
      <c r="E22" s="975"/>
      <c r="F22" s="975"/>
      <c r="G22" s="975"/>
      <c r="H22" s="975"/>
      <c r="I22" s="975"/>
      <c r="J22" s="976"/>
      <c r="K22" s="33"/>
      <c r="L22" s="33"/>
      <c r="M22" s="182"/>
    </row>
    <row r="23" spans="1:13" ht="15" customHeight="1" x14ac:dyDescent="0.25">
      <c r="A23" s="182"/>
      <c r="B23" s="504" t="s">
        <v>325</v>
      </c>
      <c r="C23" s="974" t="s">
        <v>326</v>
      </c>
      <c r="D23" s="975"/>
      <c r="E23" s="975"/>
      <c r="F23" s="975"/>
      <c r="G23" s="975"/>
      <c r="H23" s="975"/>
      <c r="I23" s="975"/>
      <c r="J23" s="976"/>
      <c r="K23" s="33"/>
      <c r="L23" s="33"/>
      <c r="M23" s="182"/>
    </row>
    <row r="24" spans="1:13" ht="39" customHeight="1" x14ac:dyDescent="0.25">
      <c r="A24" s="182"/>
      <c r="B24" s="504" t="s">
        <v>360</v>
      </c>
      <c r="C24" s="974" t="s">
        <v>372</v>
      </c>
      <c r="D24" s="975"/>
      <c r="E24" s="975"/>
      <c r="F24" s="975"/>
      <c r="G24" s="975"/>
      <c r="H24" s="975"/>
      <c r="I24" s="975"/>
      <c r="J24" s="976"/>
      <c r="K24" s="33"/>
      <c r="L24" s="33"/>
      <c r="M24" s="182"/>
    </row>
    <row r="25" spans="1:13" ht="26.25" customHeight="1" x14ac:dyDescent="0.25">
      <c r="A25" s="182"/>
      <c r="B25" s="504" t="s">
        <v>363</v>
      </c>
      <c r="C25" s="974" t="s">
        <v>364</v>
      </c>
      <c r="D25" s="975"/>
      <c r="E25" s="975"/>
      <c r="F25" s="975"/>
      <c r="G25" s="975"/>
      <c r="H25" s="975"/>
      <c r="I25" s="975"/>
      <c r="J25" s="976"/>
      <c r="K25" s="33"/>
      <c r="L25" s="33"/>
      <c r="M25" s="182"/>
    </row>
    <row r="26" spans="1:13" ht="15" customHeight="1" x14ac:dyDescent="0.25">
      <c r="A26" s="182"/>
      <c r="B26" s="504" t="s">
        <v>224</v>
      </c>
      <c r="C26" s="974" t="s">
        <v>225</v>
      </c>
      <c r="D26" s="975"/>
      <c r="E26" s="975"/>
      <c r="F26" s="975"/>
      <c r="G26" s="975"/>
      <c r="H26" s="975"/>
      <c r="I26" s="975"/>
      <c r="J26" s="976"/>
      <c r="K26" s="33"/>
      <c r="L26" s="33"/>
      <c r="M26" s="182"/>
    </row>
    <row r="27" spans="1:13" ht="15" customHeight="1" x14ac:dyDescent="0.25">
      <c r="A27" s="182"/>
      <c r="B27" s="504" t="s">
        <v>136</v>
      </c>
      <c r="C27" s="974" t="s">
        <v>379</v>
      </c>
      <c r="D27" s="975"/>
      <c r="E27" s="975"/>
      <c r="F27" s="975"/>
      <c r="G27" s="975"/>
      <c r="H27" s="975"/>
      <c r="I27" s="975"/>
      <c r="J27" s="976"/>
      <c r="K27" s="182"/>
      <c r="L27" s="182"/>
      <c r="M27" s="182"/>
    </row>
    <row r="28" spans="1:13" ht="15" customHeight="1" x14ac:dyDescent="0.25">
      <c r="A28" s="182"/>
      <c r="B28" s="504" t="s">
        <v>231</v>
      </c>
      <c r="C28" s="974" t="s">
        <v>313</v>
      </c>
      <c r="D28" s="975"/>
      <c r="E28" s="975"/>
      <c r="F28" s="975"/>
      <c r="G28" s="975"/>
      <c r="H28" s="975"/>
      <c r="I28" s="975"/>
      <c r="J28" s="976"/>
      <c r="K28" s="182"/>
      <c r="L28" s="182"/>
      <c r="M28" s="182"/>
    </row>
    <row r="29" spans="1:13" x14ac:dyDescent="0.25">
      <c r="A29" s="182"/>
      <c r="B29" s="504" t="s">
        <v>221</v>
      </c>
      <c r="C29" s="974" t="s">
        <v>223</v>
      </c>
      <c r="D29" s="975"/>
      <c r="E29" s="975"/>
      <c r="F29" s="975"/>
      <c r="G29" s="975"/>
      <c r="H29" s="975"/>
      <c r="I29" s="975"/>
      <c r="J29" s="976"/>
      <c r="K29" s="182"/>
      <c r="L29" s="182"/>
      <c r="M29" s="182"/>
    </row>
    <row r="30" spans="1:13" ht="27.75" customHeight="1" x14ac:dyDescent="0.25">
      <c r="A30" s="182"/>
      <c r="B30" s="504" t="s">
        <v>264</v>
      </c>
      <c r="C30" s="974" t="s">
        <v>380</v>
      </c>
      <c r="D30" s="975"/>
      <c r="E30" s="975"/>
      <c r="F30" s="975"/>
      <c r="G30" s="975"/>
      <c r="H30" s="975"/>
      <c r="I30" s="975"/>
      <c r="J30" s="976"/>
      <c r="K30" s="182"/>
      <c r="L30" s="182"/>
      <c r="M30" s="182"/>
    </row>
    <row r="31" spans="1:13" x14ac:dyDescent="0.25">
      <c r="A31" s="182"/>
      <c r="B31" s="504" t="s">
        <v>189</v>
      </c>
      <c r="C31" s="974" t="s">
        <v>381</v>
      </c>
      <c r="D31" s="975"/>
      <c r="E31" s="975"/>
      <c r="F31" s="975"/>
      <c r="G31" s="975"/>
      <c r="H31" s="975"/>
      <c r="I31" s="975"/>
      <c r="J31" s="976"/>
      <c r="K31" s="182"/>
      <c r="L31" s="182"/>
      <c r="M31" s="182"/>
    </row>
    <row r="32" spans="1:13" ht="15" customHeight="1" x14ac:dyDescent="0.25">
      <c r="A32" s="182"/>
      <c r="B32" s="504" t="s">
        <v>135</v>
      </c>
      <c r="C32" s="974" t="s">
        <v>382</v>
      </c>
      <c r="D32" s="975"/>
      <c r="E32" s="975"/>
      <c r="F32" s="975"/>
      <c r="G32" s="975"/>
      <c r="H32" s="975"/>
      <c r="I32" s="975"/>
      <c r="J32" s="976"/>
      <c r="K32" s="182"/>
      <c r="L32" s="182"/>
      <c r="M32" s="182"/>
    </row>
    <row r="33" spans="1:13" ht="15" customHeight="1" x14ac:dyDescent="0.25">
      <c r="A33" s="182"/>
      <c r="B33" s="504" t="s">
        <v>330</v>
      </c>
      <c r="C33" s="974" t="s">
        <v>331</v>
      </c>
      <c r="D33" s="975"/>
      <c r="E33" s="975"/>
      <c r="F33" s="975"/>
      <c r="G33" s="975"/>
      <c r="H33" s="975"/>
      <c r="I33" s="975"/>
      <c r="J33" s="976"/>
      <c r="K33" s="182"/>
      <c r="L33" s="182"/>
      <c r="M33" s="182"/>
    </row>
    <row r="34" spans="1:13" ht="15.75" customHeight="1" x14ac:dyDescent="0.25">
      <c r="A34" s="182"/>
      <c r="B34" s="504" t="s">
        <v>358</v>
      </c>
      <c r="C34" s="974" t="s">
        <v>369</v>
      </c>
      <c r="D34" s="975"/>
      <c r="E34" s="975"/>
      <c r="F34" s="975"/>
      <c r="G34" s="975"/>
      <c r="H34" s="975"/>
      <c r="I34" s="975"/>
      <c r="J34" s="976"/>
      <c r="K34" s="182"/>
      <c r="L34" s="182"/>
      <c r="M34" s="182"/>
    </row>
    <row r="35" spans="1:13" ht="15" customHeight="1" x14ac:dyDescent="0.25">
      <c r="A35" s="182"/>
      <c r="B35" s="504" t="s">
        <v>248</v>
      </c>
      <c r="C35" s="974" t="s">
        <v>366</v>
      </c>
      <c r="D35" s="975"/>
      <c r="E35" s="975"/>
      <c r="F35" s="975"/>
      <c r="G35" s="975"/>
      <c r="H35" s="975"/>
      <c r="I35" s="975"/>
      <c r="J35" s="976"/>
      <c r="K35" s="182"/>
      <c r="L35" s="182"/>
      <c r="M35" s="182"/>
    </row>
    <row r="36" spans="1:13" ht="42" customHeight="1" x14ac:dyDescent="0.25">
      <c r="A36" s="182"/>
      <c r="B36" s="504" t="s">
        <v>362</v>
      </c>
      <c r="C36" s="974" t="s">
        <v>368</v>
      </c>
      <c r="D36" s="975"/>
      <c r="E36" s="975"/>
      <c r="F36" s="975"/>
      <c r="G36" s="975"/>
      <c r="H36" s="975"/>
      <c r="I36" s="975"/>
      <c r="J36" s="976"/>
      <c r="K36" s="182"/>
      <c r="L36" s="182"/>
      <c r="M36" s="182"/>
    </row>
    <row r="37" spans="1:13" ht="15" customHeight="1" x14ac:dyDescent="0.25">
      <c r="A37" s="182"/>
      <c r="B37" s="504" t="s">
        <v>301</v>
      </c>
      <c r="C37" s="974" t="s">
        <v>314</v>
      </c>
      <c r="D37" s="975"/>
      <c r="E37" s="975"/>
      <c r="F37" s="975"/>
      <c r="G37" s="975"/>
      <c r="H37" s="975"/>
      <c r="I37" s="975"/>
      <c r="J37" s="976"/>
      <c r="K37" s="182"/>
      <c r="L37" s="182"/>
      <c r="M37" s="182"/>
    </row>
    <row r="38" spans="1:13" ht="15" customHeight="1" x14ac:dyDescent="0.25">
      <c r="A38" s="182"/>
      <c r="B38" s="504" t="s">
        <v>219</v>
      </c>
      <c r="C38" s="974" t="s">
        <v>220</v>
      </c>
      <c r="D38" s="975"/>
      <c r="E38" s="975"/>
      <c r="F38" s="975"/>
      <c r="G38" s="975"/>
      <c r="H38" s="975"/>
      <c r="I38" s="975"/>
      <c r="J38" s="976"/>
      <c r="K38" s="182"/>
      <c r="L38" s="182"/>
      <c r="M38" s="182"/>
    </row>
    <row r="39" spans="1:13" ht="15" customHeight="1" x14ac:dyDescent="0.25">
      <c r="A39" s="182"/>
      <c r="B39" s="504" t="s">
        <v>250</v>
      </c>
      <c r="C39" s="974" t="s">
        <v>266</v>
      </c>
      <c r="D39" s="975"/>
      <c r="E39" s="975"/>
      <c r="F39" s="975"/>
      <c r="G39" s="975"/>
      <c r="H39" s="975"/>
      <c r="I39" s="975"/>
      <c r="J39" s="976"/>
      <c r="K39" s="182"/>
      <c r="L39" s="182"/>
      <c r="M39" s="182"/>
    </row>
    <row r="40" spans="1:13" ht="15" customHeight="1" x14ac:dyDescent="0.25">
      <c r="A40" s="182"/>
      <c r="B40" s="504" t="s">
        <v>390</v>
      </c>
      <c r="C40" s="514" t="s">
        <v>391</v>
      </c>
      <c r="D40" s="512"/>
      <c r="E40" s="512"/>
      <c r="F40" s="512"/>
      <c r="G40" s="512"/>
      <c r="H40" s="512"/>
      <c r="I40" s="512"/>
      <c r="J40" s="513"/>
      <c r="K40" s="182"/>
      <c r="L40" s="182"/>
      <c r="M40" s="182"/>
    </row>
    <row r="41" spans="1:13" ht="15" customHeight="1" x14ac:dyDescent="0.25">
      <c r="A41" s="182"/>
      <c r="B41" s="504" t="s">
        <v>148</v>
      </c>
      <c r="C41" s="974" t="s">
        <v>365</v>
      </c>
      <c r="D41" s="975"/>
      <c r="E41" s="975"/>
      <c r="F41" s="975"/>
      <c r="G41" s="975"/>
      <c r="H41" s="975"/>
      <c r="I41" s="975"/>
      <c r="J41" s="976"/>
      <c r="K41" s="182"/>
      <c r="L41" s="182"/>
      <c r="M41" s="182"/>
    </row>
    <row r="42" spans="1:13" ht="15" customHeight="1" x14ac:dyDescent="0.25">
      <c r="A42" s="182"/>
      <c r="B42" s="504" t="s">
        <v>249</v>
      </c>
      <c r="C42" s="974" t="s">
        <v>367</v>
      </c>
      <c r="D42" s="975"/>
      <c r="E42" s="975"/>
      <c r="F42" s="975"/>
      <c r="G42" s="975"/>
      <c r="H42" s="975"/>
      <c r="I42" s="975"/>
      <c r="J42" s="976"/>
      <c r="K42" s="182"/>
      <c r="L42" s="182"/>
      <c r="M42" s="182"/>
    </row>
    <row r="43" spans="1:13" ht="15" customHeight="1" x14ac:dyDescent="0.25">
      <c r="A43" s="182"/>
      <c r="B43" s="504" t="s">
        <v>251</v>
      </c>
      <c r="C43" s="974" t="s">
        <v>263</v>
      </c>
      <c r="D43" s="975"/>
      <c r="E43" s="975"/>
      <c r="F43" s="975"/>
      <c r="G43" s="975"/>
      <c r="H43" s="975"/>
      <c r="I43" s="975"/>
      <c r="J43" s="976"/>
      <c r="K43" s="182"/>
      <c r="L43" s="182"/>
      <c r="M43" s="182"/>
    </row>
    <row r="44" spans="1:13" x14ac:dyDescent="0.25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</row>
    <row r="45" spans="1:13" x14ac:dyDescent="0.25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</row>
    <row r="46" spans="1:13" x14ac:dyDescent="0.25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</row>
    <row r="47" spans="1:13" x14ac:dyDescent="0.25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</row>
    <row r="48" spans="1:13" x14ac:dyDescent="0.25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</row>
    <row r="49" spans="1:13" x14ac:dyDescent="0.25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</row>
    <row r="50" spans="1:13" x14ac:dyDescent="0.25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</row>
    <row r="51" spans="1:13" x14ac:dyDescent="0.25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</row>
    <row r="52" spans="1:13" x14ac:dyDescent="0.25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</row>
    <row r="53" spans="1:13" x14ac:dyDescent="0.25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</row>
    <row r="54" spans="1:13" x14ac:dyDescent="0.25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</row>
    <row r="55" spans="1:13" x14ac:dyDescent="0.25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</row>
    <row r="56" spans="1:13" x14ac:dyDescent="0.25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</row>
    <row r="57" spans="1:13" x14ac:dyDescent="0.25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</row>
    <row r="58" spans="1:13" x14ac:dyDescent="0.25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</row>
    <row r="59" spans="1:13" x14ac:dyDescent="0.25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</row>
    <row r="60" spans="1:13" x14ac:dyDescent="0.25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</row>
    <row r="61" spans="1:13" x14ac:dyDescent="0.25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</row>
    <row r="62" spans="1:13" x14ac:dyDescent="0.25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</row>
    <row r="63" spans="1:13" x14ac:dyDescent="0.25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</row>
    <row r="64" spans="1:13" x14ac:dyDescent="0.25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</row>
    <row r="65" spans="1:13" x14ac:dyDescent="0.2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</row>
    <row r="66" spans="1:13" x14ac:dyDescent="0.25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</row>
    <row r="67" spans="1:13" x14ac:dyDescent="0.25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</row>
    <row r="68" spans="1:13" x14ac:dyDescent="0.25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</row>
    <row r="69" spans="1:13" x14ac:dyDescent="0.25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</row>
    <row r="70" spans="1:13" x14ac:dyDescent="0.25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</row>
    <row r="71" spans="1:13" x14ac:dyDescent="0.25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</row>
    <row r="72" spans="1:13" x14ac:dyDescent="0.25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</row>
    <row r="73" spans="1:13" x14ac:dyDescent="0.25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</row>
    <row r="74" spans="1:13" x14ac:dyDescent="0.25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</row>
    <row r="75" spans="1:13" x14ac:dyDescent="0.25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</row>
    <row r="76" spans="1:13" x14ac:dyDescent="0.25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</row>
    <row r="77" spans="1:13" x14ac:dyDescent="0.25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</row>
    <row r="78" spans="1:13" x14ac:dyDescent="0.25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</row>
    <row r="79" spans="1:13" x14ac:dyDescent="0.25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</row>
    <row r="80" spans="1:13" x14ac:dyDescent="0.25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</row>
    <row r="81" spans="1:13" x14ac:dyDescent="0.25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</row>
    <row r="82" spans="1:13" x14ac:dyDescent="0.25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</row>
    <row r="83" spans="1:13" x14ac:dyDescent="0.25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</row>
    <row r="84" spans="1:13" x14ac:dyDescent="0.25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</row>
    <row r="85" spans="1:13" x14ac:dyDescent="0.25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</row>
    <row r="86" spans="1:13" x14ac:dyDescent="0.25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</row>
    <row r="87" spans="1:13" x14ac:dyDescent="0.25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</row>
    <row r="88" spans="1:13" x14ac:dyDescent="0.25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</row>
    <row r="89" spans="1:13" x14ac:dyDescent="0.25">
      <c r="A89" s="182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</row>
    <row r="90" spans="1:13" x14ac:dyDescent="0.25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</row>
    <row r="91" spans="1:13" x14ac:dyDescent="0.25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</row>
    <row r="92" spans="1:13" x14ac:dyDescent="0.25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</row>
    <row r="93" spans="1:13" x14ac:dyDescent="0.25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</row>
    <row r="94" spans="1:13" x14ac:dyDescent="0.25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</row>
    <row r="95" spans="1:13" x14ac:dyDescent="0.25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</row>
    <row r="96" spans="1:13" x14ac:dyDescent="0.25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</row>
    <row r="97" spans="1:13" x14ac:dyDescent="0.25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</row>
    <row r="98" spans="1:13" x14ac:dyDescent="0.25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</row>
    <row r="99" spans="1:13" x14ac:dyDescent="0.25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</row>
    <row r="100" spans="1:13" x14ac:dyDescent="0.25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</row>
    <row r="101" spans="1:13" x14ac:dyDescent="0.25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</row>
    <row r="102" spans="1:13" x14ac:dyDescent="0.25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</row>
    <row r="103" spans="1:13" x14ac:dyDescent="0.25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</row>
    <row r="104" spans="1:13" x14ac:dyDescent="0.25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</row>
    <row r="105" spans="1:13" x14ac:dyDescent="0.25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</row>
    <row r="106" spans="1:13" x14ac:dyDescent="0.25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</row>
    <row r="107" spans="1:13" x14ac:dyDescent="0.25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</row>
    <row r="108" spans="1:13" x14ac:dyDescent="0.25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</row>
    <row r="109" spans="1:13" x14ac:dyDescent="0.25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</row>
    <row r="110" spans="1:13" x14ac:dyDescent="0.25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</row>
    <row r="111" spans="1:13" x14ac:dyDescent="0.25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</row>
    <row r="112" spans="1:13" x14ac:dyDescent="0.25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</row>
  </sheetData>
  <sortState ref="B13:C42">
    <sortCondition ref="B13"/>
  </sortState>
  <mergeCells count="38">
    <mergeCell ref="C42:J42"/>
    <mergeCell ref="C43:J43"/>
    <mergeCell ref="C37:J37"/>
    <mergeCell ref="C38:J38"/>
    <mergeCell ref="C39:J39"/>
    <mergeCell ref="C41:J41"/>
    <mergeCell ref="C32:J32"/>
    <mergeCell ref="C33:J33"/>
    <mergeCell ref="C34:J34"/>
    <mergeCell ref="C35:J35"/>
    <mergeCell ref="C36:J36"/>
    <mergeCell ref="C28:J28"/>
    <mergeCell ref="C23:J23"/>
    <mergeCell ref="C24:J24"/>
    <mergeCell ref="C25:J25"/>
    <mergeCell ref="C26:J26"/>
    <mergeCell ref="C27:J27"/>
    <mergeCell ref="C15:J15"/>
    <mergeCell ref="C16:J16"/>
    <mergeCell ref="C17:J17"/>
    <mergeCell ref="C18:J18"/>
    <mergeCell ref="C19:J19"/>
    <mergeCell ref="C30:J30"/>
    <mergeCell ref="C31:J31"/>
    <mergeCell ref="B10:J10"/>
    <mergeCell ref="B8:J8"/>
    <mergeCell ref="B3:J3"/>
    <mergeCell ref="B4:J4"/>
    <mergeCell ref="B5:J5"/>
    <mergeCell ref="B6:J6"/>
    <mergeCell ref="B7:J7"/>
    <mergeCell ref="B9:J9"/>
    <mergeCell ref="C13:J13"/>
    <mergeCell ref="C14:J14"/>
    <mergeCell ref="C29:J29"/>
    <mergeCell ref="C20:J20"/>
    <mergeCell ref="C21:J21"/>
    <mergeCell ref="C22:J22"/>
  </mergeCells>
  <pageMargins left="0.7" right="0.7" top="0.78740157499999996" bottom="0.78740157499999996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tabColor theme="0" tint="-0.14999847407452621"/>
  </sheetPr>
  <dimension ref="A1:AX328"/>
  <sheetViews>
    <sheetView zoomScaleNormal="100" workbookViewId="0">
      <selection activeCell="W67" sqref="W67"/>
    </sheetView>
  </sheetViews>
  <sheetFormatPr defaultRowHeight="15" x14ac:dyDescent="0.25"/>
  <cols>
    <col min="2" max="2" width="9.140625" customWidth="1"/>
    <col min="5" max="5" width="16.140625" customWidth="1"/>
    <col min="7" max="21" width="9.140625" customWidth="1"/>
  </cols>
  <sheetData>
    <row r="1" spans="1:20" x14ac:dyDescent="0.25">
      <c r="A1" s="33"/>
      <c r="K1" s="33"/>
      <c r="L1" s="33"/>
      <c r="M1" s="33"/>
      <c r="N1" s="33"/>
      <c r="O1" s="33"/>
      <c r="P1" s="33"/>
      <c r="Q1" s="182"/>
      <c r="R1" s="182"/>
      <c r="S1" s="182"/>
      <c r="T1" s="182"/>
    </row>
    <row r="2" spans="1:20" x14ac:dyDescent="0.25">
      <c r="A2" s="33"/>
      <c r="B2" s="89" t="s">
        <v>315</v>
      </c>
      <c r="K2" s="33"/>
      <c r="L2" s="33"/>
      <c r="M2" s="33"/>
      <c r="N2" s="33"/>
      <c r="O2" s="33"/>
      <c r="P2" s="33"/>
      <c r="Q2" s="182"/>
      <c r="R2" s="182"/>
      <c r="S2" s="182"/>
      <c r="T2" s="182"/>
    </row>
    <row r="3" spans="1:20" x14ac:dyDescent="0.25">
      <c r="A3" s="33"/>
      <c r="B3" s="384" t="s">
        <v>153</v>
      </c>
      <c r="C3" s="33"/>
      <c r="D3" s="33"/>
      <c r="E3" s="33"/>
      <c r="F3" s="33"/>
      <c r="G3" s="33"/>
      <c r="J3" s="33"/>
      <c r="K3" s="33"/>
      <c r="L3" s="33"/>
      <c r="M3" s="33"/>
      <c r="N3" s="33"/>
      <c r="O3" s="33"/>
      <c r="P3" s="33"/>
      <c r="Q3" s="182"/>
      <c r="R3" s="182"/>
      <c r="S3" s="182"/>
      <c r="T3" s="182"/>
    </row>
    <row r="4" spans="1:20" x14ac:dyDescent="0.25">
      <c r="A4" s="33"/>
      <c r="B4" s="384" t="s">
        <v>151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182"/>
      <c r="R4" s="182"/>
      <c r="S4" s="182"/>
      <c r="T4" s="182"/>
    </row>
    <row r="5" spans="1:20" x14ac:dyDescent="0.25">
      <c r="A5" s="33"/>
      <c r="B5" s="384" t="s">
        <v>152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182"/>
      <c r="R5" s="182"/>
      <c r="S5" s="182"/>
      <c r="T5" s="182"/>
    </row>
    <row r="6" spans="1:20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182"/>
      <c r="R6" s="182"/>
      <c r="S6" s="182"/>
      <c r="T6" s="182"/>
    </row>
    <row r="7" spans="1:20" x14ac:dyDescent="0.25">
      <c r="A7" s="33"/>
      <c r="B7" s="89" t="s">
        <v>295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82"/>
      <c r="R7" s="182"/>
      <c r="S7" s="182"/>
      <c r="T7" s="182"/>
    </row>
    <row r="8" spans="1:20" x14ac:dyDescent="0.25">
      <c r="A8" s="33"/>
      <c r="B8" s="384" t="s">
        <v>156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182"/>
      <c r="R8" s="182"/>
      <c r="S8" s="182"/>
      <c r="T8" s="182"/>
    </row>
    <row r="9" spans="1:20" x14ac:dyDescent="0.25">
      <c r="A9" s="33"/>
      <c r="B9" s="384" t="s">
        <v>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182"/>
      <c r="R9" s="182"/>
      <c r="S9" s="182"/>
      <c r="T9" s="182"/>
    </row>
    <row r="10" spans="1:20" x14ac:dyDescent="0.25">
      <c r="A10" s="33"/>
      <c r="B10" s="384" t="s">
        <v>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182"/>
      <c r="R10" s="182"/>
      <c r="S10" s="182"/>
      <c r="T10" s="182"/>
    </row>
    <row r="11" spans="1:20" x14ac:dyDescent="0.25">
      <c r="A11" s="33"/>
      <c r="B11" s="384" t="s">
        <v>176</v>
      </c>
      <c r="C11" s="130"/>
      <c r="D11" s="130"/>
      <c r="E11" s="130"/>
      <c r="F11" s="130"/>
      <c r="G11" s="130"/>
      <c r="H11" s="33"/>
      <c r="I11" s="33"/>
      <c r="J11" s="33"/>
      <c r="K11" s="33"/>
      <c r="L11" s="33"/>
      <c r="M11" s="33"/>
      <c r="N11" s="33"/>
      <c r="O11" s="33"/>
      <c r="P11" s="33"/>
      <c r="Q11" s="182"/>
      <c r="R11" s="182"/>
      <c r="S11" s="182"/>
      <c r="T11" s="182"/>
    </row>
    <row r="12" spans="1:20" x14ac:dyDescent="0.25">
      <c r="A12" s="33"/>
      <c r="B12" s="33"/>
      <c r="C12" s="33"/>
      <c r="D12" s="33"/>
      <c r="E12" s="33"/>
      <c r="H12" s="130"/>
      <c r="I12" s="130"/>
      <c r="J12" s="33"/>
      <c r="K12" s="33"/>
      <c r="L12" s="33"/>
      <c r="M12" s="33"/>
      <c r="N12" s="33"/>
      <c r="O12" s="33"/>
      <c r="P12" s="33"/>
      <c r="Q12" s="182"/>
      <c r="R12" s="182"/>
      <c r="S12" s="182"/>
      <c r="T12" s="182"/>
    </row>
    <row r="13" spans="1:20" x14ac:dyDescent="0.25">
      <c r="A13" s="33"/>
      <c r="B13" s="89" t="s">
        <v>285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182"/>
      <c r="R13" s="182"/>
      <c r="S13" s="182"/>
      <c r="T13" s="182"/>
    </row>
    <row r="14" spans="1:20" x14ac:dyDescent="0.25">
      <c r="A14" s="33"/>
      <c r="B14" s="385" t="s">
        <v>170</v>
      </c>
      <c r="C14" s="386"/>
      <c r="D14" s="387"/>
      <c r="E14" s="388">
        <f>Postup!H24</f>
        <v>43831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182"/>
      <c r="R14" s="182"/>
      <c r="S14" s="182"/>
      <c r="T14" s="182"/>
    </row>
    <row r="15" spans="1:20" x14ac:dyDescent="0.25">
      <c r="A15" s="33"/>
      <c r="B15" s="389" t="s">
        <v>297</v>
      </c>
      <c r="C15" s="390"/>
      <c r="D15" s="391"/>
      <c r="E15" s="388">
        <f>IF(ISBLANK(E14),"",DATE(YEAR(E14),1,1))</f>
        <v>43831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182"/>
      <c r="R15" s="182"/>
      <c r="S15" s="182"/>
      <c r="T15" s="182"/>
    </row>
    <row r="16" spans="1:20" x14ac:dyDescent="0.25">
      <c r="A16" s="33"/>
      <c r="B16" s="389" t="s">
        <v>168</v>
      </c>
      <c r="C16" s="390"/>
      <c r="D16" s="391"/>
      <c r="E16" s="388">
        <f>IF(ISBLANK(E14),0,IF(Postup!J24=Postup!J25,Postup!H25,DATE(YEAR(E14),12,31)))</f>
        <v>44196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182"/>
      <c r="R16" s="182"/>
      <c r="S16" s="182"/>
      <c r="T16" s="182"/>
    </row>
    <row r="17" spans="1:29" x14ac:dyDescent="0.25">
      <c r="A17" s="33"/>
      <c r="B17" s="396" t="s">
        <v>167</v>
      </c>
      <c r="C17" s="397"/>
      <c r="D17" s="398"/>
      <c r="E17" s="399">
        <f>IF(ISBLANK(E14),"",(E16-E14)/(E16-E15))</f>
        <v>1</v>
      </c>
      <c r="F17" s="34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182"/>
      <c r="R17" s="182"/>
      <c r="S17" s="182"/>
      <c r="T17" s="182"/>
    </row>
    <row r="18" spans="1:29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182"/>
      <c r="R18" s="182"/>
      <c r="S18" s="182"/>
      <c r="T18" s="182"/>
    </row>
    <row r="19" spans="1:29" x14ac:dyDescent="0.25">
      <c r="A19" s="33"/>
      <c r="B19" s="89" t="s">
        <v>286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182"/>
      <c r="R19" s="182"/>
      <c r="S19" s="182"/>
      <c r="T19" s="182"/>
    </row>
    <row r="20" spans="1:29" x14ac:dyDescent="0.25">
      <c r="A20" s="33"/>
      <c r="B20" s="385" t="s">
        <v>169</v>
      </c>
      <c r="C20" s="386"/>
      <c r="D20" s="387"/>
      <c r="E20" s="388">
        <f>Postup!H25</f>
        <v>45657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182"/>
      <c r="R20" s="182"/>
      <c r="S20" s="182"/>
      <c r="T20" s="182"/>
    </row>
    <row r="21" spans="1:29" x14ac:dyDescent="0.25">
      <c r="A21" s="33"/>
      <c r="B21" s="389" t="s">
        <v>171</v>
      </c>
      <c r="C21" s="390"/>
      <c r="D21" s="391"/>
      <c r="E21" s="388">
        <f>IF(ISBLANK(E20),"",DATE(YEAR(E20),1,1))</f>
        <v>45292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182"/>
      <c r="R21" s="182"/>
      <c r="S21" s="182"/>
      <c r="T21" s="182"/>
    </row>
    <row r="22" spans="1:29" x14ac:dyDescent="0.25">
      <c r="A22" s="33"/>
      <c r="B22" s="389" t="s">
        <v>298</v>
      </c>
      <c r="C22" s="390"/>
      <c r="D22" s="391"/>
      <c r="E22" s="388">
        <f>IF(ISBLANK(E21),"",DATE(YEAR(E21),12,31))</f>
        <v>45657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182"/>
      <c r="R22" s="182"/>
      <c r="S22" s="182"/>
      <c r="T22" s="182"/>
    </row>
    <row r="23" spans="1:29" x14ac:dyDescent="0.25">
      <c r="A23" s="33"/>
      <c r="B23" s="396" t="s">
        <v>167</v>
      </c>
      <c r="C23" s="397"/>
      <c r="D23" s="398"/>
      <c r="E23" s="399">
        <f>IF(ISBLANK(E20),"",(E20-E21)/(E22-E21))</f>
        <v>1</v>
      </c>
      <c r="F23" s="34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182"/>
      <c r="R23" s="182"/>
      <c r="S23" s="182"/>
      <c r="T23" s="182"/>
    </row>
    <row r="24" spans="1:29" x14ac:dyDescent="0.25">
      <c r="A24" s="33"/>
      <c r="B24" s="90"/>
      <c r="C24" s="33"/>
      <c r="D24" s="33"/>
      <c r="E24" s="33"/>
      <c r="F24" s="34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182"/>
      <c r="R24" s="182"/>
      <c r="S24" s="182"/>
      <c r="T24" s="182"/>
    </row>
    <row r="25" spans="1:29" x14ac:dyDescent="0.25">
      <c r="A25" s="33"/>
      <c r="B25" s="89" t="s">
        <v>256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182"/>
      <c r="R25" s="182"/>
      <c r="S25" s="182"/>
      <c r="T25" s="182"/>
    </row>
    <row r="26" spans="1:29" x14ac:dyDescent="0.25">
      <c r="A26" s="33"/>
      <c r="B26" s="384" t="s">
        <v>181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182"/>
      <c r="R26" s="182"/>
      <c r="S26" s="182"/>
      <c r="T26" s="182"/>
    </row>
    <row r="27" spans="1:29" x14ac:dyDescent="0.25">
      <c r="A27" s="33"/>
      <c r="B27" s="384" t="s">
        <v>182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82"/>
      <c r="R27" s="182"/>
      <c r="S27" s="182"/>
      <c r="T27" s="182"/>
    </row>
    <row r="28" spans="1:29" x14ac:dyDescent="0.25">
      <c r="A28" s="33"/>
      <c r="B28" s="38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182"/>
      <c r="R28" s="182"/>
      <c r="S28" s="182"/>
      <c r="T28" s="182"/>
    </row>
    <row r="29" spans="1:29" ht="15.75" thickBot="1" x14ac:dyDescent="0.3">
      <c r="A29" s="33"/>
      <c r="B29" s="89" t="s">
        <v>428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182"/>
      <c r="R29" s="182"/>
      <c r="S29" s="182"/>
      <c r="T29" s="182"/>
    </row>
    <row r="30" spans="1:29" x14ac:dyDescent="0.25">
      <c r="A30" s="33"/>
      <c r="C30" s="33"/>
      <c r="D30" s="33"/>
      <c r="E30" s="33"/>
      <c r="F30" s="33"/>
      <c r="G30" s="385" t="s">
        <v>242</v>
      </c>
      <c r="H30" s="394" t="str">
        <f>CONCATENATE(Postup!J24," PV")</f>
        <v>2020 PV</v>
      </c>
      <c r="I30" s="395" t="str">
        <f>CONCATENATE(Postup!J24," OV")</f>
        <v>2020 OV</v>
      </c>
      <c r="J30" s="394" t="str">
        <f>CONCATENATE(Postup!$J24+1," PV")</f>
        <v>2021 PV</v>
      </c>
      <c r="K30" s="395" t="str">
        <f>CONCATENATE(Postup!$J24+1," OV")</f>
        <v>2021 OV</v>
      </c>
      <c r="L30" s="394" t="str">
        <f>CONCATENATE(Postup!$J24+2," PV")</f>
        <v>2022 PV</v>
      </c>
      <c r="M30" s="395" t="str">
        <f>CONCATENATE(Postup!$J24+2," OV")</f>
        <v>2022 OV</v>
      </c>
      <c r="N30" s="394" t="str">
        <f>CONCATENATE(Postup!$J24+3," PV")</f>
        <v>2023 PV</v>
      </c>
      <c r="O30" s="395" t="str">
        <f>CONCATENATE(Postup!$J24+3," OV")</f>
        <v>2023 OV</v>
      </c>
      <c r="P30" s="394" t="str">
        <f>CONCATENATE(Postup!$J24+4," PV")</f>
        <v>2024 PV</v>
      </c>
      <c r="Q30" s="395" t="str">
        <f>CONCATENATE(Postup!$J24+4," OV")</f>
        <v>2024 OV</v>
      </c>
      <c r="R30" s="394" t="str">
        <f>CONCATENATE(Postup!$J24+5," PV")</f>
        <v>2025 PV</v>
      </c>
      <c r="S30" s="395" t="str">
        <f>CONCATENATE(Postup!$J24+5," OV")</f>
        <v>2025 OV</v>
      </c>
      <c r="T30" s="394" t="str">
        <f>CONCATENATE(Postup!$J24+6," PV")</f>
        <v>2026 PV</v>
      </c>
      <c r="U30" s="395" t="str">
        <f>CONCATENATE(Postup!$J24+6," OV")</f>
        <v>2026 OV</v>
      </c>
      <c r="V30" s="394" t="str">
        <f>CONCATENATE(Postup!$J24+7," PV")</f>
        <v>2027 PV</v>
      </c>
      <c r="W30" s="395" t="str">
        <f>CONCATENATE(Postup!$J24+7," OV")</f>
        <v>2027 OV</v>
      </c>
      <c r="X30" s="394" t="str">
        <f>CONCATENATE(Postup!$J24+8," PV")</f>
        <v>2028 PV</v>
      </c>
      <c r="Y30" s="395" t="str">
        <f>CONCATENATE(Postup!$J24+8," OV")</f>
        <v>2028 OV</v>
      </c>
      <c r="Z30" s="394" t="str">
        <f>CONCATENATE(Postup!$J24+9," PV")</f>
        <v>2029 PV</v>
      </c>
      <c r="AA30" s="395" t="str">
        <f>CONCATENATE(Postup!$J24+9," OV")</f>
        <v>2029 OV</v>
      </c>
      <c r="AB30" s="394" t="str">
        <f>CONCATENATE(Postup!$J24+10," PV")</f>
        <v>2030 PV</v>
      </c>
      <c r="AC30" s="395" t="str">
        <f>CONCATENATE(Postup!$J24+10," OV")</f>
        <v>2030 OV</v>
      </c>
    </row>
    <row r="31" spans="1:29" x14ac:dyDescent="0.25">
      <c r="A31" s="33"/>
      <c r="B31" s="392" t="s">
        <v>425</v>
      </c>
      <c r="C31" s="385" t="s">
        <v>426</v>
      </c>
      <c r="D31" s="386"/>
      <c r="E31" s="386"/>
      <c r="F31" s="387"/>
      <c r="G31" s="393" t="s">
        <v>186</v>
      </c>
      <c r="H31" s="459">
        <f>Nabídka!P7</f>
        <v>0</v>
      </c>
      <c r="I31" s="460">
        <f>Nabídka!Q7</f>
        <v>0</v>
      </c>
      <c r="J31" s="459">
        <f>$H$31*(1+Provozování!F10)</f>
        <v>0</v>
      </c>
      <c r="K31" s="460">
        <f>$I$31*(1+Provozování!F10)</f>
        <v>0</v>
      </c>
      <c r="L31" s="459">
        <f>$H$31*(1+Provozování!I10)</f>
        <v>0</v>
      </c>
      <c r="M31" s="460">
        <f>$I$31*(1+Provozování!I10)</f>
        <v>0</v>
      </c>
      <c r="N31" s="459">
        <f>$H$31*(1+Provozování!L10)</f>
        <v>0</v>
      </c>
      <c r="O31" s="460">
        <f>$I$31*(1+Provozování!L10)</f>
        <v>0</v>
      </c>
      <c r="P31" s="459">
        <f>$H$31*(1+Provozování!O10)</f>
        <v>0</v>
      </c>
      <c r="Q31" s="460">
        <f>$I$31*(1+Provozování!O10)</f>
        <v>0</v>
      </c>
      <c r="R31" s="459">
        <f>$H$31*(1+Provozování!R10)</f>
        <v>0</v>
      </c>
      <c r="S31" s="460">
        <f>$I$31*(1+Provozování!R10)</f>
        <v>0</v>
      </c>
      <c r="T31" s="459">
        <f>$H$31*(1+Provozování!U10)</f>
        <v>0</v>
      </c>
      <c r="U31" s="460">
        <f>$I$31*(1+Provozování!U10)</f>
        <v>0</v>
      </c>
      <c r="V31" s="459">
        <f>$H$31*(1+Provozování!X10)</f>
        <v>0</v>
      </c>
      <c r="W31" s="460">
        <f>$I$31*(1+Provozování!X10)</f>
        <v>0</v>
      </c>
      <c r="X31" s="459">
        <f>$H$31*(1+Provozování!AA10)</f>
        <v>0</v>
      </c>
      <c r="Y31" s="460">
        <f>$I$31*(1+Provozování!AA10)</f>
        <v>0</v>
      </c>
      <c r="Z31" s="459">
        <f>$H$31*(1+Provozování!AD10)</f>
        <v>0</v>
      </c>
      <c r="AA31" s="460">
        <f>$I$31*(1+Provozování!AD10)</f>
        <v>0</v>
      </c>
      <c r="AB31" s="459">
        <f>$H$31*(1+Provozování!AG10)</f>
        <v>0</v>
      </c>
      <c r="AC31" s="460">
        <f>$I$31*(1+Provozování!AG10)</f>
        <v>0</v>
      </c>
    </row>
    <row r="32" spans="1:29" x14ac:dyDescent="0.25">
      <c r="A32" s="33"/>
      <c r="B32" s="392" t="s">
        <v>183</v>
      </c>
      <c r="C32" s="385" t="s">
        <v>184</v>
      </c>
      <c r="D32" s="386"/>
      <c r="E32" s="386"/>
      <c r="F32" s="387"/>
      <c r="G32" s="393" t="s">
        <v>186</v>
      </c>
      <c r="H32" s="459">
        <f>(Nabídka!G63*Nabídka!G61)*1000</f>
        <v>0</v>
      </c>
      <c r="I32" s="460">
        <f ca="1">(Nabídka!H63*Nabídka!H61)*1000</f>
        <v>503.42245233909409</v>
      </c>
      <c r="J32" s="459">
        <f>'Kalkulace a Porovnání'!$Z66*'Kalkulace a Porovnání'!$Z64*1000/E17</f>
        <v>0</v>
      </c>
      <c r="K32" s="460">
        <f ca="1">'Kalkulace a Porovnání'!$AB66*'Kalkulace a Porovnání'!$AB64*1000/E17</f>
        <v>503.42245233909409</v>
      </c>
      <c r="L32" s="459">
        <f>'Kalkulace a Porovnání'!$Z136*'Kalkulace a Porovnání'!$Z134*1000</f>
        <v>0</v>
      </c>
      <c r="M32" s="460">
        <f ca="1">'Kalkulace a Porovnání'!$AB136*'Kalkulace a Porovnání'!$AB134*1000</f>
        <v>503.42245233909409</v>
      </c>
      <c r="N32" s="459">
        <f>'Kalkulace a Porovnání'!$Z206*'Kalkulace a Porovnání'!$Z204*1000</f>
        <v>0</v>
      </c>
      <c r="O32" s="460">
        <f ca="1">'Kalkulace a Porovnání'!$AB206*'Kalkulace a Porovnání'!$AB204*1000</f>
        <v>503.42245233909409</v>
      </c>
      <c r="P32" s="459">
        <f>'Kalkulace a Porovnání'!$Z276*'Kalkulace a Porovnání'!$Z274*1000</f>
        <v>0</v>
      </c>
      <c r="Q32" s="460">
        <f ca="1">'Kalkulace a Porovnání'!$AB276*'Kalkulace a Porovnání'!$AB274*1000</f>
        <v>514.92245233909409</v>
      </c>
      <c r="R32" s="459">
        <f>'Kalkulace a Porovnání'!$Z346*'Kalkulace a Porovnání'!$Z344*1000</f>
        <v>0</v>
      </c>
      <c r="S32" s="460">
        <f ca="1">'Kalkulace a Porovnání'!$AB346*'Kalkulace a Porovnání'!$AB344*1000</f>
        <v>514.92245233909409</v>
      </c>
      <c r="T32" s="459">
        <f>'Kalkulace a Porovnání'!$Z416*'Kalkulace a Porovnání'!$Z414*1000</f>
        <v>0</v>
      </c>
      <c r="U32" s="460">
        <f>'Kalkulace a Porovnání'!$AB416*'Kalkulace a Porovnání'!$AB414*1000</f>
        <v>0</v>
      </c>
      <c r="V32" s="459">
        <f>'Kalkulace a Porovnání'!$Z486*'Kalkulace a Porovnání'!$Z484*1000</f>
        <v>0</v>
      </c>
      <c r="W32" s="460">
        <f>'Kalkulace a Porovnání'!$AB486*'Kalkulace a Porovnání'!$AB484*1000</f>
        <v>0</v>
      </c>
      <c r="X32" s="459">
        <f>'Kalkulace a Porovnání'!$Z556*'Kalkulace a Porovnání'!$Z554*1000</f>
        <v>0</v>
      </c>
      <c r="Y32" s="460">
        <f>'Kalkulace a Porovnání'!$AB556*'Kalkulace a Porovnání'!$AB554*1000</f>
        <v>0</v>
      </c>
      <c r="Z32" s="459">
        <f>'Kalkulace a Porovnání'!$Z626*'Kalkulace a Porovnání'!$Z624*1000</f>
        <v>0</v>
      </c>
      <c r="AA32" s="460">
        <f>'Kalkulace a Porovnání'!$AB626*'Kalkulace a Porovnání'!$AB624*1000</f>
        <v>0</v>
      </c>
      <c r="AB32" s="459">
        <f>'Kalkulace a Porovnání'!$Z696*'Kalkulace a Porovnání'!$Z694*1000</f>
        <v>0</v>
      </c>
      <c r="AC32" s="460">
        <f>'Kalkulace a Porovnání'!$AB696*'Kalkulace a Porovnání'!$AB694*1000</f>
        <v>0</v>
      </c>
    </row>
    <row r="33" spans="1:29" x14ac:dyDescent="0.25">
      <c r="A33" s="33"/>
      <c r="B33" s="392" t="s">
        <v>185</v>
      </c>
      <c r="C33" s="385" t="s">
        <v>424</v>
      </c>
      <c r="D33" s="386"/>
      <c r="E33" s="386"/>
      <c r="F33" s="387"/>
      <c r="G33" s="393" t="s">
        <v>186</v>
      </c>
      <c r="H33" s="459">
        <f>(Nabídka!F41-Nabídka!F37)*1000</f>
        <v>0</v>
      </c>
      <c r="I33" s="460">
        <f>(Nabídka!H41-Nabídka!H37)*1000</f>
        <v>430</v>
      </c>
      <c r="J33" s="459">
        <f>('Kalkulace a Porovnání'!$X41-'Kalkulace a Porovnání'!$X37)*1000/E17</f>
        <v>0</v>
      </c>
      <c r="K33" s="460">
        <f>('Kalkulace a Porovnání'!$AA41-'Kalkulace a Porovnání'!$AA37)*1000/E17</f>
        <v>430</v>
      </c>
      <c r="L33" s="459">
        <f>('Kalkulace a Porovnání'!$X111-'Kalkulace a Porovnání'!$X107)*1000</f>
        <v>0</v>
      </c>
      <c r="M33" s="460">
        <f>('Kalkulace a Porovnání'!$AA111-'Kalkulace a Porovnání'!$AA107)*1000</f>
        <v>430</v>
      </c>
      <c r="N33" s="459">
        <f>('Kalkulace a Porovnání'!$X181-'Kalkulace a Porovnání'!$X177)*1000</f>
        <v>0</v>
      </c>
      <c r="O33" s="460">
        <f ca="1">('Kalkulace a Porovnání'!$AA181-'Kalkulace a Porovnání'!$AA177)*1000</f>
        <v>430</v>
      </c>
      <c r="P33" s="459">
        <f>('Kalkulace a Porovnání'!$X251-'Kalkulace a Porovnání'!$X247)*1000</f>
        <v>0</v>
      </c>
      <c r="Q33" s="460">
        <f ca="1">('Kalkulace a Porovnání'!$AA251-'Kalkulace a Porovnání'!$AA247)*1000</f>
        <v>439.99999999999994</v>
      </c>
      <c r="R33" s="459">
        <f>('Kalkulace a Porovnání'!$X321-'Kalkulace a Porovnání'!$X317)*1000</f>
        <v>0</v>
      </c>
      <c r="S33" s="460">
        <f ca="1">('Kalkulace a Porovnání'!$AA321-'Kalkulace a Porovnání'!$AA317)*1000</f>
        <v>439.99999999999994</v>
      </c>
      <c r="T33" s="459">
        <f>('Kalkulace a Porovnání'!$X391-'Kalkulace a Porovnání'!$X387)*1000</f>
        <v>0</v>
      </c>
      <c r="U33" s="460">
        <f>('Kalkulace a Porovnání'!$AA391-'Kalkulace a Porovnání'!$AA387)*1000</f>
        <v>0</v>
      </c>
      <c r="V33" s="459">
        <f>('Kalkulace a Porovnání'!$X461-'Kalkulace a Porovnání'!$X457)*1000</f>
        <v>0</v>
      </c>
      <c r="W33" s="460">
        <f>('Kalkulace a Porovnání'!$AA461-'Kalkulace a Porovnání'!$AA457)*1000</f>
        <v>0</v>
      </c>
      <c r="X33" s="459">
        <f>('Kalkulace a Porovnání'!$X531-'Kalkulace a Porovnání'!$X527)*1000</f>
        <v>0</v>
      </c>
      <c r="Y33" s="460">
        <f>('Kalkulace a Porovnání'!$AA531-'Kalkulace a Porovnání'!$AA527)*1000</f>
        <v>0</v>
      </c>
      <c r="Z33" s="459">
        <f>('Kalkulace a Porovnání'!$X601-'Kalkulace a Porovnání'!$X597)*1000</f>
        <v>0</v>
      </c>
      <c r="AA33" s="460">
        <f>('Kalkulace a Porovnání'!$AA601-'Kalkulace a Porovnání'!$AA597)*1000</f>
        <v>0</v>
      </c>
      <c r="AB33" s="459">
        <f>('Kalkulace a Porovnání'!$X671-'Kalkulace a Porovnání'!$X667)*1000</f>
        <v>0</v>
      </c>
      <c r="AC33" s="460">
        <f>('Kalkulace a Porovnání'!$AA671-'Kalkulace a Porovnání'!$AA667)*1000</f>
        <v>0</v>
      </c>
    </row>
    <row r="34" spans="1:29" ht="15.75" thickBot="1" x14ac:dyDescent="0.3">
      <c r="A34" s="33"/>
      <c r="B34" s="392" t="s">
        <v>187</v>
      </c>
      <c r="C34" s="385" t="s">
        <v>429</v>
      </c>
      <c r="D34" s="386"/>
      <c r="E34" s="386"/>
      <c r="F34" s="386"/>
      <c r="G34" s="385" t="s">
        <v>186</v>
      </c>
      <c r="H34" s="461">
        <f>(Nabídka!G62*Nabídka!G61)*1000*0.01</f>
        <v>0</v>
      </c>
      <c r="I34" s="462">
        <f ca="1">(Nabídka!H62*Nabídka!H61)*1000*0.01</f>
        <v>4.3775865420790794</v>
      </c>
      <c r="J34" s="461">
        <f>'Kalkulace a Porovnání'!$Z65*'Kalkulace a Porovnání'!$Z64*1000/E17*0.01</f>
        <v>0</v>
      </c>
      <c r="K34" s="462">
        <f ca="1">'Kalkulace a Porovnání'!$AB65*'Kalkulace a Porovnání'!$AB64*1000/E17*0.01</f>
        <v>4.3775865420790794</v>
      </c>
      <c r="L34" s="461">
        <f>'Kalkulace a Porovnání'!$Z135*'Kalkulace a Porovnání'!$Z134*1000*0.01</f>
        <v>0</v>
      </c>
      <c r="M34" s="462">
        <f ca="1">'Kalkulace a Porovnání'!$AB135*'Kalkulace a Porovnání'!$AB134*1000*0.01</f>
        <v>4.3775865420790794</v>
      </c>
      <c r="N34" s="461">
        <f>'Kalkulace a Porovnání'!$Z205*'Kalkulace a Porovnání'!$Z204*1000*0.01</f>
        <v>0</v>
      </c>
      <c r="O34" s="462">
        <f ca="1">'Kalkulace a Porovnání'!$AB205*'Kalkulace a Porovnání'!$AB204*1000*0.01</f>
        <v>4.3775865420790794</v>
      </c>
      <c r="P34" s="461">
        <f>'Kalkulace a Porovnání'!$Z275*'Kalkulace a Porovnání'!$Z274*1000*0.01</f>
        <v>0</v>
      </c>
      <c r="Q34" s="462">
        <f ca="1">'Kalkulace a Porovnání'!$AB275*'Kalkulace a Porovnání'!$AB274*1000*0.01</f>
        <v>4.4775865420790799</v>
      </c>
      <c r="R34" s="461">
        <f>'Kalkulace a Porovnání'!$Z345*'Kalkulace a Porovnání'!$Z344*1000*0.01</f>
        <v>0</v>
      </c>
      <c r="S34" s="462">
        <f ca="1">'Kalkulace a Porovnání'!$AB345*'Kalkulace a Porovnání'!$AB344*1000*0.01</f>
        <v>4.4775865420790799</v>
      </c>
      <c r="T34" s="461">
        <f>'Kalkulace a Porovnání'!$Z415*'Kalkulace a Porovnání'!$Z414*1000*0.01</f>
        <v>0</v>
      </c>
      <c r="U34" s="462">
        <f>'Kalkulace a Porovnání'!$AB415*'Kalkulace a Porovnání'!$AB414*1000*0.01</f>
        <v>0</v>
      </c>
      <c r="V34" s="461">
        <f>'Kalkulace a Porovnání'!$Z485*'Kalkulace a Porovnání'!$Z484*1000*0.01</f>
        <v>0</v>
      </c>
      <c r="W34" s="462">
        <f>'Kalkulace a Porovnání'!$AB485*'Kalkulace a Porovnání'!$AB484*1000*0.01</f>
        <v>0</v>
      </c>
      <c r="X34" s="461">
        <f>'Kalkulace a Porovnání'!$Z555*'Kalkulace a Porovnání'!$Z554*1000*0.01</f>
        <v>0</v>
      </c>
      <c r="Y34" s="462">
        <f>'Kalkulace a Porovnání'!$AB555*'Kalkulace a Porovnání'!$AB554*1000*0.01</f>
        <v>0</v>
      </c>
      <c r="Z34" s="461">
        <f>'Kalkulace a Porovnání'!$Z625*'Kalkulace a Porovnání'!$Z624*1000*0.01</f>
        <v>0</v>
      </c>
      <c r="AA34" s="462">
        <f>'Kalkulace a Porovnání'!$AB625*'Kalkulace a Porovnání'!$AB624*1000*0.01</f>
        <v>0</v>
      </c>
      <c r="AB34" s="461">
        <f>'Kalkulace a Porovnání'!$Z695*'Kalkulace a Porovnání'!$Z694*1000*0.01</f>
        <v>0</v>
      </c>
      <c r="AC34" s="462">
        <f>'Kalkulace a Porovnání'!$AB695*'Kalkulace a Porovnání'!$AB694*1000*0.01</f>
        <v>0</v>
      </c>
    </row>
    <row r="35" spans="1:29" x14ac:dyDescent="0.25">
      <c r="A35" s="33"/>
      <c r="B35" s="486" t="s">
        <v>427</v>
      </c>
      <c r="C35" s="33"/>
      <c r="D35" s="33"/>
      <c r="E35" s="33"/>
      <c r="F35" s="33"/>
      <c r="G35" s="33"/>
      <c r="H35" s="182"/>
      <c r="I35" s="33"/>
      <c r="J35" s="33"/>
      <c r="K35" s="33"/>
      <c r="L35" s="33"/>
      <c r="M35" s="33"/>
      <c r="N35" s="33"/>
      <c r="O35" s="33"/>
      <c r="P35" s="33"/>
      <c r="Q35" s="182"/>
      <c r="R35" s="182"/>
      <c r="S35" s="182"/>
      <c r="T35" s="182"/>
      <c r="U35" s="31"/>
    </row>
    <row r="36" spans="1:29" x14ac:dyDescent="0.25">
      <c r="A36" s="33"/>
      <c r="B36" s="33"/>
      <c r="C36" s="33"/>
      <c r="D36" s="33"/>
      <c r="E36" s="33"/>
      <c r="F36" s="33"/>
      <c r="G36" s="33"/>
      <c r="H36" s="34"/>
      <c r="I36" s="33"/>
      <c r="J36" s="33"/>
      <c r="K36" s="33"/>
      <c r="L36" s="33"/>
      <c r="M36" s="33"/>
      <c r="N36" s="33"/>
      <c r="O36" s="33"/>
      <c r="P36" s="33"/>
      <c r="Q36" s="182"/>
      <c r="R36" s="182"/>
      <c r="S36" s="182"/>
      <c r="T36" s="182"/>
    </row>
    <row r="37" spans="1:29" x14ac:dyDescent="0.25">
      <c r="A37" s="33"/>
      <c r="B37" s="89" t="s">
        <v>230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182"/>
      <c r="R37" s="182"/>
      <c r="S37" s="182"/>
      <c r="T37" s="182"/>
    </row>
    <row r="38" spans="1:29" x14ac:dyDescent="0.25">
      <c r="A38" s="33"/>
      <c r="B38" s="384" t="str">
        <f>Provozování!B6:C6</f>
        <v>Index cen elektrické energie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182"/>
      <c r="R38" s="182"/>
      <c r="S38" s="182"/>
      <c r="T38" s="182"/>
    </row>
    <row r="39" spans="1:29" x14ac:dyDescent="0.25">
      <c r="A39" s="33"/>
      <c r="B39" s="384" t="str">
        <f>Provozování!B7:C7</f>
        <v>Index cen průmyslových výrobců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182"/>
      <c r="R39" s="182"/>
      <c r="S39" s="182"/>
      <c r="T39" s="182"/>
    </row>
    <row r="40" spans="1:29" x14ac:dyDescent="0.25">
      <c r="A40" s="33"/>
      <c r="B40" s="384" t="str">
        <f>Provozování!B8:C8</f>
        <v xml:space="preserve">Index cen stavebních děl 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182"/>
      <c r="R40" s="182"/>
      <c r="S40" s="182"/>
      <c r="T40" s="182"/>
    </row>
    <row r="41" spans="1:29" x14ac:dyDescent="0.25">
      <c r="A41" s="33"/>
      <c r="B41" s="384" t="str">
        <f>Provozování!B10</f>
        <v xml:space="preserve">Index spotřebitelských cen 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182"/>
      <c r="R41" s="182"/>
      <c r="S41" s="182"/>
      <c r="T41" s="182"/>
    </row>
    <row r="42" spans="1:29" x14ac:dyDescent="0.25">
      <c r="A42" s="33"/>
      <c r="B42" s="384" t="str">
        <f>Provozování!B11</f>
        <v>Index určený Zadavatelem - [zde doplnit název]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182"/>
      <c r="R42" s="182"/>
      <c r="S42" s="182"/>
      <c r="T42" s="182"/>
    </row>
    <row r="43" spans="1:29" x14ac:dyDescent="0.25">
      <c r="A43" s="33"/>
      <c r="B43" s="384" t="str">
        <f>Provozování!B13</f>
        <v>Mzdový index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182"/>
      <c r="R43" s="182"/>
      <c r="S43" s="182"/>
      <c r="T43" s="182"/>
    </row>
    <row r="44" spans="1:29" x14ac:dyDescent="0.25">
      <c r="A44" s="33"/>
      <c r="B44" s="384" t="str">
        <f>Provozování!B14</f>
        <v>Složený index cen energie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182"/>
      <c r="R44" s="182"/>
      <c r="S44" s="182"/>
      <c r="T44" s="182"/>
    </row>
    <row r="45" spans="1:29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182"/>
      <c r="R45" s="182"/>
      <c r="S45" s="182"/>
      <c r="T45" s="182"/>
    </row>
    <row r="46" spans="1:29" x14ac:dyDescent="0.25">
      <c r="A46" s="33"/>
      <c r="B46" s="89" t="s">
        <v>296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82"/>
      <c r="R46" s="182"/>
      <c r="S46" s="182"/>
      <c r="T46" s="182"/>
    </row>
    <row r="47" spans="1:29" x14ac:dyDescent="0.25">
      <c r="A47" s="33"/>
      <c r="B47" s="384" t="s">
        <v>269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182"/>
      <c r="R47" s="182"/>
      <c r="S47" s="182"/>
      <c r="T47" s="182"/>
    </row>
    <row r="48" spans="1:29" x14ac:dyDescent="0.25">
      <c r="A48" s="33"/>
      <c r="B48" s="384" t="s">
        <v>270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182"/>
      <c r="R48" s="182"/>
      <c r="S48" s="182"/>
      <c r="T48" s="182"/>
    </row>
    <row r="49" spans="1:50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182"/>
      <c r="R49" s="182"/>
      <c r="S49" s="182"/>
      <c r="T49" s="182"/>
    </row>
    <row r="50" spans="1:50" x14ac:dyDescent="0.25">
      <c r="A50" s="33"/>
      <c r="B50" s="89" t="s">
        <v>356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182"/>
      <c r="R50" s="182"/>
      <c r="S50" s="182"/>
      <c r="T50" s="182"/>
    </row>
    <row r="51" spans="1:50" x14ac:dyDescent="0.25">
      <c r="A51" s="33"/>
      <c r="B51" s="1009" t="s">
        <v>163</v>
      </c>
      <c r="C51" s="1010"/>
      <c r="D51" s="1010"/>
      <c r="E51" s="1010"/>
      <c r="F51" s="1010"/>
      <c r="G51" s="1011"/>
      <c r="H51" s="392">
        <f>YEAR(E14)</f>
        <v>2020</v>
      </c>
      <c r="I51" s="392">
        <f>H51+1</f>
        <v>2021</v>
      </c>
      <c r="J51" s="392">
        <f>I51+1</f>
        <v>2022</v>
      </c>
      <c r="K51" s="392">
        <f>J51+1</f>
        <v>2023</v>
      </c>
      <c r="L51" s="392">
        <f t="shared" ref="L51:R51" si="0">K51+1</f>
        <v>2024</v>
      </c>
      <c r="M51" s="392">
        <f t="shared" si="0"/>
        <v>2025</v>
      </c>
      <c r="N51" s="392">
        <f t="shared" si="0"/>
        <v>2026</v>
      </c>
      <c r="O51" s="392">
        <f t="shared" si="0"/>
        <v>2027</v>
      </c>
      <c r="P51" s="392">
        <f t="shared" si="0"/>
        <v>2028</v>
      </c>
      <c r="Q51" s="392">
        <f t="shared" si="0"/>
        <v>2029</v>
      </c>
      <c r="R51" s="385">
        <f t="shared" si="0"/>
        <v>2030</v>
      </c>
      <c r="S51" s="404"/>
      <c r="T51" s="182"/>
    </row>
    <row r="52" spans="1:50" x14ac:dyDescent="0.25">
      <c r="A52" s="33"/>
      <c r="B52" s="1009" t="s">
        <v>274</v>
      </c>
      <c r="C52" s="1010"/>
      <c r="D52" s="1010"/>
      <c r="E52" s="1010"/>
      <c r="F52" s="1010"/>
      <c r="G52" s="1011"/>
      <c r="H52" s="469" t="str">
        <f>IF(ISBLANK(Provozování!J17),"-",Provozování!J17)</f>
        <v>-</v>
      </c>
      <c r="I52" s="469" t="str">
        <f>IF(ISBLANK(Provozování!R17),"-",Provozování!R17)</f>
        <v>-</v>
      </c>
      <c r="J52" s="469" t="str">
        <f>IF(ISBLANK(Provozování!W17),"-",Provozování!W17)</f>
        <v>-</v>
      </c>
      <c r="K52" s="469" t="str">
        <f>IF(ISBLANK(Provozování!AB17),"-",Provozování!AB17)</f>
        <v>-</v>
      </c>
      <c r="L52" s="469" t="str">
        <f>IF(ISBLANK(Provozování!AG17),"-",Provozování!AG17)</f>
        <v>-</v>
      </c>
      <c r="M52" s="469" t="str">
        <f>IF(ISBLANK(Provozování!AL17),"-",Provozování!AL17)</f>
        <v>-</v>
      </c>
      <c r="N52" s="469" t="str">
        <f>IF(ISBLANK(Provozování!AQ17),"-",Provozování!AQ17)</f>
        <v>-</v>
      </c>
      <c r="O52" s="469" t="str">
        <f>IF(ISBLANK(Provozování!AV17),"-",Provozování!AV17)</f>
        <v>-</v>
      </c>
      <c r="P52" s="469" t="str">
        <f>IF(ISBLANK(Provozování!BA17),"-",Provozování!BA17)</f>
        <v>-</v>
      </c>
      <c r="Q52" s="469" t="str">
        <f>IF(ISBLANK(Provozování!BF17),"-",Provozování!BF17)</f>
        <v>-</v>
      </c>
      <c r="R52" s="470" t="str">
        <f>IF(ISBLANK(Provozování!BK17),"-",Provozování!BK17)</f>
        <v>-</v>
      </c>
      <c r="S52" s="405"/>
      <c r="T52" s="182"/>
    </row>
    <row r="53" spans="1:50" x14ac:dyDescent="0.25">
      <c r="A53" s="33"/>
      <c r="B53" s="1012" t="s">
        <v>284</v>
      </c>
      <c r="C53" s="1013"/>
      <c r="D53" s="1013"/>
      <c r="E53" s="1013"/>
      <c r="F53" s="1013"/>
      <c r="G53" s="1014"/>
      <c r="H53" s="471">
        <f t="shared" ref="H53:R53" si="1">IF(H52="-",0,(H57-H52)/(H57-H56))</f>
        <v>0</v>
      </c>
      <c r="I53" s="471">
        <f t="shared" si="1"/>
        <v>0</v>
      </c>
      <c r="J53" s="471">
        <f t="shared" si="1"/>
        <v>0</v>
      </c>
      <c r="K53" s="471">
        <f t="shared" si="1"/>
        <v>0</v>
      </c>
      <c r="L53" s="471">
        <f t="shared" si="1"/>
        <v>0</v>
      </c>
      <c r="M53" s="471">
        <f t="shared" si="1"/>
        <v>0</v>
      </c>
      <c r="N53" s="471">
        <f t="shared" si="1"/>
        <v>0</v>
      </c>
      <c r="O53" s="471">
        <f t="shared" si="1"/>
        <v>0</v>
      </c>
      <c r="P53" s="471">
        <f t="shared" si="1"/>
        <v>0</v>
      </c>
      <c r="Q53" s="471">
        <f t="shared" si="1"/>
        <v>0</v>
      </c>
      <c r="R53" s="471">
        <f t="shared" si="1"/>
        <v>0</v>
      </c>
      <c r="S53" s="406"/>
      <c r="T53" s="182"/>
    </row>
    <row r="54" spans="1:50" x14ac:dyDescent="0.25">
      <c r="A54" s="33"/>
      <c r="B54" s="1007" t="s">
        <v>305</v>
      </c>
      <c r="C54" s="1007"/>
      <c r="D54" s="1007"/>
      <c r="E54" s="1007"/>
      <c r="F54" s="1007"/>
      <c r="G54" s="1007"/>
      <c r="H54" s="463">
        <f>DATE(H51,1,1)</f>
        <v>43831</v>
      </c>
      <c r="I54" s="463">
        <f t="shared" ref="I54:R54" si="2">DATE(I51,1,1)</f>
        <v>44197</v>
      </c>
      <c r="J54" s="463">
        <f t="shared" si="2"/>
        <v>44562</v>
      </c>
      <c r="K54" s="463">
        <f t="shared" si="2"/>
        <v>44927</v>
      </c>
      <c r="L54" s="463">
        <f t="shared" si="2"/>
        <v>45292</v>
      </c>
      <c r="M54" s="463">
        <f t="shared" si="2"/>
        <v>45658</v>
      </c>
      <c r="N54" s="463">
        <f t="shared" si="2"/>
        <v>46023</v>
      </c>
      <c r="O54" s="463">
        <f t="shared" si="2"/>
        <v>46388</v>
      </c>
      <c r="P54" s="463">
        <f t="shared" si="2"/>
        <v>46753</v>
      </c>
      <c r="Q54" s="463">
        <f t="shared" si="2"/>
        <v>47119</v>
      </c>
      <c r="R54" s="464">
        <f t="shared" si="2"/>
        <v>47484</v>
      </c>
      <c r="S54" s="405"/>
      <c r="T54" s="182"/>
    </row>
    <row r="55" spans="1:50" x14ac:dyDescent="0.25">
      <c r="A55" s="33"/>
      <c r="B55" s="1007" t="s">
        <v>306</v>
      </c>
      <c r="C55" s="1007"/>
      <c r="D55" s="1007"/>
      <c r="E55" s="1007"/>
      <c r="F55" s="1007"/>
      <c r="G55" s="1007"/>
      <c r="H55" s="463">
        <f>DATE(H51,12,31)</f>
        <v>44196</v>
      </c>
      <c r="I55" s="463">
        <f t="shared" ref="I55:R55" si="3">DATE(I51,12,31)</f>
        <v>44561</v>
      </c>
      <c r="J55" s="463">
        <f t="shared" si="3"/>
        <v>44926</v>
      </c>
      <c r="K55" s="463">
        <f t="shared" si="3"/>
        <v>45291</v>
      </c>
      <c r="L55" s="463">
        <f t="shared" si="3"/>
        <v>45657</v>
      </c>
      <c r="M55" s="463">
        <f t="shared" si="3"/>
        <v>46022</v>
      </c>
      <c r="N55" s="463">
        <f t="shared" si="3"/>
        <v>46387</v>
      </c>
      <c r="O55" s="463">
        <f t="shared" si="3"/>
        <v>46752</v>
      </c>
      <c r="P55" s="463">
        <f t="shared" si="3"/>
        <v>47118</v>
      </c>
      <c r="Q55" s="463">
        <f t="shared" si="3"/>
        <v>47483</v>
      </c>
      <c r="R55" s="463">
        <f t="shared" si="3"/>
        <v>47848</v>
      </c>
      <c r="S55" s="458"/>
      <c r="T55" s="182"/>
    </row>
    <row r="56" spans="1:50" x14ac:dyDescent="0.25">
      <c r="A56" s="33"/>
      <c r="B56" s="1007" t="s">
        <v>303</v>
      </c>
      <c r="C56" s="1007"/>
      <c r="D56" s="1007"/>
      <c r="E56" s="1007"/>
      <c r="F56" s="1007"/>
      <c r="G56" s="1007"/>
      <c r="H56" s="463">
        <f>E14</f>
        <v>43831</v>
      </c>
      <c r="I56" s="469">
        <f>IF(YEAR($E$20)&gt;=I51,DATE(I51,1,1),"-")</f>
        <v>44197</v>
      </c>
      <c r="J56" s="469">
        <f t="shared" ref="J56:R56" si="4">IF(YEAR($E$20)&gt;=J51,DATE(J51,1,1),"-")</f>
        <v>44562</v>
      </c>
      <c r="K56" s="469">
        <f t="shared" si="4"/>
        <v>44927</v>
      </c>
      <c r="L56" s="469">
        <f t="shared" si="4"/>
        <v>45292</v>
      </c>
      <c r="M56" s="469" t="str">
        <f t="shared" si="4"/>
        <v>-</v>
      </c>
      <c r="N56" s="469" t="str">
        <f t="shared" si="4"/>
        <v>-</v>
      </c>
      <c r="O56" s="469" t="str">
        <f t="shared" si="4"/>
        <v>-</v>
      </c>
      <c r="P56" s="469" t="str">
        <f t="shared" si="4"/>
        <v>-</v>
      </c>
      <c r="Q56" s="469" t="str">
        <f t="shared" si="4"/>
        <v>-</v>
      </c>
      <c r="R56" s="469" t="str">
        <f t="shared" si="4"/>
        <v>-</v>
      </c>
      <c r="S56" s="182"/>
      <c r="T56" s="182"/>
    </row>
    <row r="57" spans="1:50" x14ac:dyDescent="0.25">
      <c r="A57" s="33"/>
      <c r="B57" s="1007" t="s">
        <v>304</v>
      </c>
      <c r="C57" s="1007"/>
      <c r="D57" s="1007"/>
      <c r="E57" s="1007"/>
      <c r="F57" s="1007"/>
      <c r="G57" s="1007"/>
      <c r="H57" s="469">
        <f>DATE(H51,12,31)</f>
        <v>44196</v>
      </c>
      <c r="I57" s="469">
        <f>IF(YEAR($E$20)&gt;I51,DATE(I51,12,31),IF(YEAR($E$20)=I51,$E$20,"-"))</f>
        <v>44561</v>
      </c>
      <c r="J57" s="469">
        <f t="shared" ref="J57:R57" si="5">IF(YEAR($E$20)&gt;J51,DATE(J51,12,31),IF(YEAR($E$20)=J51,$E$20,"-"))</f>
        <v>44926</v>
      </c>
      <c r="K57" s="469">
        <f t="shared" si="5"/>
        <v>45291</v>
      </c>
      <c r="L57" s="469">
        <f t="shared" si="5"/>
        <v>45657</v>
      </c>
      <c r="M57" s="469" t="str">
        <f t="shared" si="5"/>
        <v>-</v>
      </c>
      <c r="N57" s="469" t="str">
        <f t="shared" si="5"/>
        <v>-</v>
      </c>
      <c r="O57" s="469" t="str">
        <f t="shared" si="5"/>
        <v>-</v>
      </c>
      <c r="P57" s="469" t="str">
        <f t="shared" si="5"/>
        <v>-</v>
      </c>
      <c r="Q57" s="469" t="str">
        <f t="shared" si="5"/>
        <v>-</v>
      </c>
      <c r="R57" s="469" t="str">
        <f t="shared" si="5"/>
        <v>-</v>
      </c>
      <c r="S57" s="182"/>
      <c r="T57" s="182"/>
    </row>
    <row r="58" spans="1:50" x14ac:dyDescent="0.25">
      <c r="A58" s="33"/>
      <c r="B58" s="1008" t="s">
        <v>357</v>
      </c>
      <c r="C58" s="1008"/>
      <c r="D58" s="1008"/>
      <c r="E58" s="1008"/>
      <c r="F58" s="1008"/>
      <c r="G58" s="1008"/>
      <c r="H58" s="471">
        <f>IF(H52="-",1,(H52-H56)/(H57-H56))</f>
        <v>1</v>
      </c>
      <c r="I58" s="471">
        <f>IF(I52="-",1,(I52-I56)/(I57-I56))</f>
        <v>1</v>
      </c>
      <c r="J58" s="471">
        <f t="shared" ref="J58:R58" si="6">IF(J52="-",1,(J52-J56)/(J57-J56))</f>
        <v>1</v>
      </c>
      <c r="K58" s="471">
        <f t="shared" si="6"/>
        <v>1</v>
      </c>
      <c r="L58" s="471">
        <f t="shared" si="6"/>
        <v>1</v>
      </c>
      <c r="M58" s="471">
        <f t="shared" si="6"/>
        <v>1</v>
      </c>
      <c r="N58" s="471">
        <f t="shared" si="6"/>
        <v>1</v>
      </c>
      <c r="O58" s="471">
        <f t="shared" si="6"/>
        <v>1</v>
      </c>
      <c r="P58" s="471">
        <f t="shared" si="6"/>
        <v>1</v>
      </c>
      <c r="Q58" s="471">
        <f t="shared" si="6"/>
        <v>1</v>
      </c>
      <c r="R58" s="471">
        <f t="shared" si="6"/>
        <v>1</v>
      </c>
      <c r="S58" s="182"/>
      <c r="T58" s="182"/>
    </row>
    <row r="59" spans="1:50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182"/>
      <c r="R59" s="182"/>
      <c r="S59" s="182"/>
      <c r="T59" s="182"/>
    </row>
    <row r="60" spans="1:50" ht="15.75" thickBo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</row>
    <row r="61" spans="1:50" x14ac:dyDescent="0.25">
      <c r="A61" s="33"/>
      <c r="B61" s="89" t="s">
        <v>228</v>
      </c>
      <c r="C61" s="33"/>
      <c r="D61" s="33"/>
      <c r="E61" s="33"/>
      <c r="F61" s="33"/>
      <c r="G61" s="1004">
        <f>YEAR(E14)</f>
        <v>2020</v>
      </c>
      <c r="H61" s="1005"/>
      <c r="I61" s="1004" t="str">
        <f>CONCATENATE("Aktualizace ",G61)</f>
        <v>Aktualizace 2020</v>
      </c>
      <c r="J61" s="1005"/>
      <c r="K61" s="1004">
        <f>G61+1</f>
        <v>2021</v>
      </c>
      <c r="L61" s="1005"/>
      <c r="M61" s="1004" t="str">
        <f>CONCATENATE("Aktualizace ",K61)</f>
        <v>Aktualizace 2021</v>
      </c>
      <c r="N61" s="1005"/>
      <c r="O61" s="1004">
        <f>K61+1</f>
        <v>2022</v>
      </c>
      <c r="P61" s="1005"/>
      <c r="Q61" s="1004" t="str">
        <f>CONCATENATE("Aktualizace ",O61)</f>
        <v>Aktualizace 2022</v>
      </c>
      <c r="R61" s="1005"/>
      <c r="S61" s="1004">
        <f>O61+1</f>
        <v>2023</v>
      </c>
      <c r="T61" s="1005"/>
      <c r="U61" s="1004" t="str">
        <f>CONCATENATE("Aktualizace ",S61)</f>
        <v>Aktualizace 2023</v>
      </c>
      <c r="V61" s="1005"/>
      <c r="W61" s="1004">
        <f>S61+1</f>
        <v>2024</v>
      </c>
      <c r="X61" s="1005"/>
      <c r="Y61" s="1004" t="str">
        <f>CONCATENATE("Aktualizace ",W61)</f>
        <v>Aktualizace 2024</v>
      </c>
      <c r="Z61" s="1005"/>
      <c r="AA61" s="1004">
        <f>W61+1</f>
        <v>2025</v>
      </c>
      <c r="AB61" s="1005"/>
      <c r="AC61" s="1004" t="str">
        <f>CONCATENATE("Aktualizace ",AA61)</f>
        <v>Aktualizace 2025</v>
      </c>
      <c r="AD61" s="1005"/>
      <c r="AE61" s="1004">
        <f>AA61+1</f>
        <v>2026</v>
      </c>
      <c r="AF61" s="1005"/>
      <c r="AG61" s="1004" t="str">
        <f>CONCATENATE("Aktualizace ",AE61)</f>
        <v>Aktualizace 2026</v>
      </c>
      <c r="AH61" s="1005"/>
      <c r="AI61" s="1004">
        <f>AE61+1</f>
        <v>2027</v>
      </c>
      <c r="AJ61" s="1005"/>
      <c r="AK61" s="1004" t="str">
        <f>CONCATENATE("Aktualizace ",AI61)</f>
        <v>Aktualizace 2027</v>
      </c>
      <c r="AL61" s="1005"/>
      <c r="AM61" s="1004">
        <f>AI61+1</f>
        <v>2028</v>
      </c>
      <c r="AN61" s="1005"/>
      <c r="AO61" s="1004" t="str">
        <f>CONCATENATE("Aktualizace ",AM61)</f>
        <v>Aktualizace 2028</v>
      </c>
      <c r="AP61" s="1005"/>
      <c r="AQ61" s="1004">
        <f>AM61+1</f>
        <v>2029</v>
      </c>
      <c r="AR61" s="1005"/>
      <c r="AS61" s="1004" t="str">
        <f>CONCATENATE("Aktualizace ",AQ61)</f>
        <v>Aktualizace 2029</v>
      </c>
      <c r="AT61" s="1005"/>
      <c r="AU61" s="1004">
        <f>AQ61+1</f>
        <v>2030</v>
      </c>
      <c r="AV61" s="1005"/>
      <c r="AW61" s="1004" t="str">
        <f>CONCATENATE("Aktualizace ",AU61)</f>
        <v>Aktualizace 2030</v>
      </c>
      <c r="AX61" s="1005"/>
    </row>
    <row r="62" spans="1:50" x14ac:dyDescent="0.25">
      <c r="A62" s="33"/>
      <c r="B62" s="33"/>
      <c r="C62" s="33"/>
      <c r="D62" s="33"/>
      <c r="E62" s="33"/>
      <c r="F62" s="33"/>
      <c r="G62" s="473" t="s">
        <v>135</v>
      </c>
      <c r="H62" s="474" t="s">
        <v>136</v>
      </c>
      <c r="I62" s="473" t="s">
        <v>135</v>
      </c>
      <c r="J62" s="474" t="s">
        <v>136</v>
      </c>
      <c r="K62" s="473" t="s">
        <v>135</v>
      </c>
      <c r="L62" s="474" t="s">
        <v>136</v>
      </c>
      <c r="M62" s="473" t="s">
        <v>135</v>
      </c>
      <c r="N62" s="474" t="s">
        <v>136</v>
      </c>
      <c r="O62" s="473" t="s">
        <v>135</v>
      </c>
      <c r="P62" s="474" t="s">
        <v>136</v>
      </c>
      <c r="Q62" s="473" t="s">
        <v>135</v>
      </c>
      <c r="R62" s="474" t="s">
        <v>136</v>
      </c>
      <c r="S62" s="473" t="s">
        <v>135</v>
      </c>
      <c r="T62" s="474" t="s">
        <v>136</v>
      </c>
      <c r="U62" s="473" t="s">
        <v>135</v>
      </c>
      <c r="V62" s="474" t="s">
        <v>136</v>
      </c>
      <c r="W62" s="473" t="s">
        <v>135</v>
      </c>
      <c r="X62" s="474" t="s">
        <v>136</v>
      </c>
      <c r="Y62" s="473" t="s">
        <v>135</v>
      </c>
      <c r="Z62" s="474" t="s">
        <v>136</v>
      </c>
      <c r="AA62" s="473" t="s">
        <v>135</v>
      </c>
      <c r="AB62" s="474" t="s">
        <v>136</v>
      </c>
      <c r="AC62" s="473" t="s">
        <v>135</v>
      </c>
      <c r="AD62" s="474" t="s">
        <v>136</v>
      </c>
      <c r="AE62" s="473" t="s">
        <v>135</v>
      </c>
      <c r="AF62" s="474" t="s">
        <v>136</v>
      </c>
      <c r="AG62" s="473" t="s">
        <v>135</v>
      </c>
      <c r="AH62" s="474" t="s">
        <v>136</v>
      </c>
      <c r="AI62" s="473" t="s">
        <v>135</v>
      </c>
      <c r="AJ62" s="474" t="s">
        <v>136</v>
      </c>
      <c r="AK62" s="473" t="s">
        <v>135</v>
      </c>
      <c r="AL62" s="474" t="s">
        <v>136</v>
      </c>
      <c r="AM62" s="473" t="s">
        <v>135</v>
      </c>
      <c r="AN62" s="474" t="s">
        <v>136</v>
      </c>
      <c r="AO62" s="473" t="s">
        <v>135</v>
      </c>
      <c r="AP62" s="474" t="s">
        <v>136</v>
      </c>
      <c r="AQ62" s="473" t="s">
        <v>135</v>
      </c>
      <c r="AR62" s="474" t="s">
        <v>136</v>
      </c>
      <c r="AS62" s="473" t="s">
        <v>135</v>
      </c>
      <c r="AT62" s="474" t="s">
        <v>136</v>
      </c>
      <c r="AU62" s="473" t="s">
        <v>135</v>
      </c>
      <c r="AV62" s="474" t="s">
        <v>136</v>
      </c>
      <c r="AW62" s="473" t="s">
        <v>135</v>
      </c>
      <c r="AX62" s="474" t="s">
        <v>136</v>
      </c>
    </row>
    <row r="63" spans="1:50" x14ac:dyDescent="0.25">
      <c r="A63" s="33"/>
      <c r="B63" s="12" t="s">
        <v>15</v>
      </c>
      <c r="C63" s="919" t="s">
        <v>16</v>
      </c>
      <c r="D63" s="919"/>
      <c r="E63" s="919"/>
      <c r="F63" s="3" t="s">
        <v>10</v>
      </c>
      <c r="G63" s="164">
        <f>IF(AND(DAY(Postup!$H$24)=1,MONTH(Postup!$H$24)=1),Provozování!E25,Provozování!G25)</f>
        <v>0</v>
      </c>
      <c r="H63" s="158">
        <f>IF(AND(DAY(Postup!$H$24)=1,MONTH(Postup!$H$24)=1),Provozování!F25,Provozování!H25)</f>
        <v>0</v>
      </c>
      <c r="I63" s="164">
        <f>IF(Provozování!$I$16="Neaktivní",0,Provozování!I25)</f>
        <v>0</v>
      </c>
      <c r="J63" s="158">
        <f>IF(Provozování!$I$16="Neaktivní",0,Provozování!J25)</f>
        <v>0</v>
      </c>
      <c r="K63" s="164">
        <f>IF(YEAR(Postup!$H$25)&gt;$K$61,Provozování!O25,IF(AND(DAY(Postup!$H$25)=31,MONTH(Postup!$H$25)=12,YEAR(Postup!$H$25)=$K$61),Provozování!O25,IF(YEAR(Postup!$H$25)=$K$61,Provozování!$BL25,0)))</f>
        <v>0</v>
      </c>
      <c r="L63" s="158">
        <f>IF(YEAR(Postup!$H$25)&gt;$K$61,Provozování!P25,IF(AND(DAY(Postup!$H$25)=31,MONTH(Postup!$H$25)=12,YEAR(Postup!$H$25)=$K$61),Provozování!P25,IF(YEAR(Postup!$H$25)=$K$61,Provozování!$BM25,0)))</f>
        <v>0</v>
      </c>
      <c r="M63" s="164">
        <f>IF(Provozování!$Q$16="Neaktivní",0,Provozování!Q25)</f>
        <v>0</v>
      </c>
      <c r="N63" s="158">
        <f>IF(Provozování!$Q$16="Neaktivní",0,Provozování!R25)</f>
        <v>0</v>
      </c>
      <c r="O63" s="164">
        <f>IF(YEAR(Postup!$H$25)&gt;$O$61,Provozování!T25,IF(AND(DAY(Postup!$H$25)=31,MONTH(Postup!$H$25)=12,YEAR(Postup!$H$25)=$O$61),Provozování!T25,IF(YEAR(Postup!$H$25)=$O$61,Provozování!$BL25,0)))</f>
        <v>0</v>
      </c>
      <c r="P63" s="158">
        <f>IF(YEAR(Postup!$H$25)&gt;$O$61,Provozování!U25,IF(AND(DAY(Postup!$H$25)=31,MONTH(Postup!$H$25)=12,YEAR(Postup!$H$25)=$O$61),Provozování!U25,IF(YEAR(Postup!$H$25)=$O$61,Provozování!$BM25,0)))</f>
        <v>0</v>
      </c>
      <c r="Q63" s="164">
        <f>IF(Provozování!$V$16="Neaktivní",0,Provozování!V25)</f>
        <v>0</v>
      </c>
      <c r="R63" s="158">
        <f>IF(Provozování!$V$16="Neaktivní",0,Provozování!W25)</f>
        <v>0</v>
      </c>
      <c r="S63" s="164">
        <f>IF(YEAR(Postup!$H$25)&gt;$S$61,Provozování!Y25,IF(AND(DAY(Postup!$H$25)=31,MONTH(Postup!$H$25)=12,YEAR(Postup!$H$25)=$S$61),Provozování!Y25,IF(YEAR(Postup!$H$25)=$S$61,Provozování!$BL25,0)))</f>
        <v>0</v>
      </c>
      <c r="T63" s="158">
        <f>IF(YEAR(Postup!$H$25)&gt;$S$61,Provozování!Z25,IF(AND(DAY(Postup!$H$25)=31,MONTH(Postup!$H$25)=12,YEAR(Postup!$H$25)=$S$61),Provozování!Z25,IF(YEAR(Postup!$H$25)=$S$61,Provozování!$BM25,0)))</f>
        <v>0</v>
      </c>
      <c r="U63" s="164">
        <f>IF(Provozování!$AA$16="Neaktivní",0,Provozování!AA25)</f>
        <v>0</v>
      </c>
      <c r="V63" s="158">
        <f>IF(Provozování!$AA$16="Neaktivní",0,Provozování!AB25)</f>
        <v>0</v>
      </c>
      <c r="W63" s="164">
        <f>IF(YEAR(Postup!$H$25)&gt;$W$61,Provozování!AD25,IF(AND(DAY(Postup!$H$25)=31,MONTH(Postup!$H$25)=12,YEAR(Postup!$H$25)=$W$61),Provozování!AD25,IF(YEAR(Postup!$H$25)=$W$61,Provozování!$BL25,0)))</f>
        <v>0</v>
      </c>
      <c r="X63" s="158">
        <f>IF(YEAR(Postup!$H$25)&gt;$W$61,Provozování!AE25,IF(AND(DAY(Postup!$H$25)=31,MONTH(Postup!$H$25)=12,YEAR(Postup!$H$25)=$W$61),Provozování!AE25,IF(YEAR(Postup!$H$25)=$W$61,Provozování!$BM25,0)))</f>
        <v>0</v>
      </c>
      <c r="Y63" s="164">
        <f>IF(Provozování!$AF$16="Neaktivní",0,Provozování!AF25)</f>
        <v>0</v>
      </c>
      <c r="Z63" s="158">
        <f>IF(Provozování!$AF$16="Neaktivní",0,Provozování!AG25)</f>
        <v>0</v>
      </c>
      <c r="AA63" s="164">
        <f>IF(YEAR(Postup!$H$25)&gt;$AA$61,Provozování!AI25,IF(AND(DAY(Postup!$H$25)=31,MONTH(Postup!$H$25)=12,YEAR(Postup!$H$25)=$AA$61),Provozování!AI25,IF(YEAR(Postup!$H$25)=$AA$61,Provozování!$BL25,0)))</f>
        <v>0</v>
      </c>
      <c r="AB63" s="158">
        <f>IF(YEAR(Postup!$H$25)&gt;$AA$61,Provozování!AJ25,IF(AND(DAY(Postup!$H$25)=31,MONTH(Postup!$H$25)=12,YEAR(Postup!$H$25)=$AA$61),Provozování!AJ25,IF(YEAR(Postup!$H$25)=$AA$61,Provozování!$BM25,0)))</f>
        <v>0</v>
      </c>
      <c r="AC63" s="164">
        <f>IF(Provozování!$AK$16="Neaktivní",0,Provozování!AK25)</f>
        <v>0</v>
      </c>
      <c r="AD63" s="158">
        <f>IF(Provozování!$AK$16="Neaktivní",0,Provozování!AL25)</f>
        <v>0</v>
      </c>
      <c r="AE63" s="164">
        <f>IF(YEAR(Postup!$H$25)&gt;$AE$61,Provozování!AN25,IF(AND(DAY(Postup!$H$25)=31,MONTH(Postup!$H$25)=12,YEAR(Postup!$H$25)=$AE$61),Provozování!AN25,IF(YEAR(Postup!$H$25)=$AE$61,Provozování!$BL25,0)))</f>
        <v>0</v>
      </c>
      <c r="AF63" s="158">
        <f>IF(YEAR(Postup!$H$25)&gt;$AE$61,Provozování!AO25,IF(AND(DAY(Postup!$H$25)=31,MONTH(Postup!$H$25)=12,YEAR(Postup!$H$25)=$AE$61),Provozování!AO25,IF(YEAR(Postup!$H$25)=$AE$61,Provozování!$BM25,0)))</f>
        <v>0</v>
      </c>
      <c r="AG63" s="164">
        <f>IF(Provozování!$AP$16="Neaktivní",0,Provozování!AP25)</f>
        <v>0</v>
      </c>
      <c r="AH63" s="158">
        <f>IF(Provozování!$AP$16="Neaktivní",0,Provozování!AQ25)</f>
        <v>0</v>
      </c>
      <c r="AI63" s="164">
        <f>IF(YEAR(Postup!$H$25)&gt;$AI$61,Provozování!AS25,IF(AND(DAY(Postup!$H$25)=31,MONTH(Postup!$H$25)=12,YEAR(Postup!$H$25)=$AI$61),Provozování!AS25,IF(YEAR(Postup!$H$25)=$AI$61,Provozování!$BL25,0)))</f>
        <v>0</v>
      </c>
      <c r="AJ63" s="158">
        <f>IF(YEAR(Postup!$H$25)&gt;$AI$61,Provozování!AT25,IF(AND(DAY(Postup!$H$25)=31,MONTH(Postup!$H$25)=12,YEAR(Postup!$H$25)=$AI$61),Provozování!AT25,IF(YEAR(Postup!$H$25)=$AI$61,Provozování!$BM25,0)))</f>
        <v>0</v>
      </c>
      <c r="AK63" s="164">
        <f>IF(Provozování!$AU$16="Neaktivní",0,Provozování!AU25)</f>
        <v>0</v>
      </c>
      <c r="AL63" s="158">
        <f>IF(Provozování!$AU$16="Neaktivní",0,Provozování!AV25)</f>
        <v>0</v>
      </c>
      <c r="AM63" s="164">
        <f>IF(YEAR(Postup!$H$25)&gt;$AM$61,Provozování!AX25,IF(AND(DAY(Postup!$H$25)=31,MONTH(Postup!$H$25)=12,YEAR(Postup!$H$25)=$AM$61),Provozování!AX25,IF(YEAR(Postup!$H$25)=$AM$61,Provozování!$BL25,0)))</f>
        <v>0</v>
      </c>
      <c r="AN63" s="158">
        <f>IF(YEAR(Postup!$H$25)&gt;$AM$61,Provozování!AY25,IF(AND(DAY(Postup!$H$25)=31,MONTH(Postup!$H$25)=12,YEAR(Postup!$H$25)=$AM$61),Provozování!AY25,IF(YEAR(Postup!$H$25)=$AM$61,Provozování!$BM25,0)))</f>
        <v>0</v>
      </c>
      <c r="AO63" s="164">
        <f>IF(Provozování!$AZ$16="Neaktivní",0,Provozování!AZ25)</f>
        <v>0</v>
      </c>
      <c r="AP63" s="158">
        <f>IF(Provozování!$AZ$16="Neaktivní",0,Provozování!BA25)</f>
        <v>0</v>
      </c>
      <c r="AQ63" s="164">
        <f>IF(YEAR(Postup!$H$25)&gt;$AQ$61,Provozování!BC25,IF(AND(DAY(Postup!$H$25)=31,MONTH(Postup!$H$25)=12,YEAR(Postup!$H$25)=$AQ$61),Provozování!BC25,IF(YEAR(Postup!$H$25)=$AQ$61,Provozování!$BL25,0)))</f>
        <v>0</v>
      </c>
      <c r="AR63" s="158">
        <f>IF(YEAR(Postup!$H$25)&gt;$AM$61,Provozování!BD25,IF(AND(DAY(Postup!$H$25)=31,MONTH(Postup!$H$25)=12,YEAR(Postup!$H$25)=$AM$61),Provozování!BD25,IF(YEAR(Postup!$H$25)=$AM$61,Provozování!$BM25,0)))</f>
        <v>0</v>
      </c>
      <c r="AS63" s="164">
        <f>IF(Provozování!$BE$16="Neaktivní",0,Provozování!BE25)</f>
        <v>0</v>
      </c>
      <c r="AT63" s="158">
        <f>IF(Provozování!$BE$16="Neaktivní",0,Provozování!BF25)</f>
        <v>0</v>
      </c>
      <c r="AU63" s="164">
        <f>IF(YEAR(Postup!$H$25)&gt;$AU$61,Provozování!BH25,IF(AND(DAY(Postup!$H$25)=31,MONTH(Postup!$H$25)=12,YEAR(Postup!$H$25)=$AU$61),Provozování!BH25,IF(YEAR(Postup!$H$25)=$AU$61,Provozování!$BL25,0)))</f>
        <v>0</v>
      </c>
      <c r="AV63" s="158">
        <f>IF(YEAR(Postup!$H$25)&gt;$AU$61,Provozování!BI25,IF(AND(DAY(Postup!$H$25)=31,MONTH(Postup!$H$25)=12,YEAR(Postup!$H$25)=$AU$61),Provozování!BI25,IF(YEAR(Postup!$H$25)=$AU$61,Provozování!$BM25,0)))</f>
        <v>0</v>
      </c>
      <c r="AW63" s="164">
        <f>IF(Provozování!$BJ$16="Neaktivní",0,Provozování!BJ25)</f>
        <v>0</v>
      </c>
      <c r="AX63" s="158">
        <f>IF(Provozování!$BJ$16="Neaktivní",0,Provozování!BK25)</f>
        <v>0</v>
      </c>
    </row>
    <row r="64" spans="1:50" x14ac:dyDescent="0.25">
      <c r="A64" s="33"/>
      <c r="B64" s="12" t="s">
        <v>17</v>
      </c>
      <c r="C64" s="919" t="s">
        <v>18</v>
      </c>
      <c r="D64" s="919"/>
      <c r="E64" s="919"/>
      <c r="F64" s="3" t="s">
        <v>10</v>
      </c>
      <c r="G64" s="164">
        <f>IF(AND(DAY(Postup!$H$24)=1,MONTH(Postup!$H$24)=1),Provozování!E26,Provozování!G26)</f>
        <v>0</v>
      </c>
      <c r="H64" s="158">
        <f>IF(AND(DAY(Postup!$H$24)=1,MONTH(Postup!$H$24)=1),Provozování!F26,Provozování!H26)</f>
        <v>0</v>
      </c>
      <c r="I64" s="164">
        <f>IF(Provozování!$I$16="Neaktivní",0,Provozování!I26)</f>
        <v>0</v>
      </c>
      <c r="J64" s="158">
        <f>IF(Provozování!$I$16="Neaktivní",0,Provozování!J26)</f>
        <v>0</v>
      </c>
      <c r="K64" s="164">
        <f>IF(YEAR(Postup!$H$25)&gt;$K$61,Provozování!O26,IF(AND(DAY(Postup!$H$25)=31,MONTH(Postup!$H$25)=12,YEAR(Postup!$H$25)=$K$61),Provozování!O26,IF(YEAR(Postup!$H$25)=$K$61,Provozování!$BL26,0)))</f>
        <v>0</v>
      </c>
      <c r="L64" s="158">
        <f>IF(YEAR(Postup!$H$25)&gt;$K$61,Provozování!P26,IF(AND(DAY(Postup!$H$25)=31,MONTH(Postup!$H$25)=12,YEAR(Postup!$H$25)=$K$61),Provozování!P26,IF(YEAR(Postup!$H$25)=$K$61,Provozování!$BM26,0)))</f>
        <v>0</v>
      </c>
      <c r="M64" s="164">
        <f>IF(Provozování!$Q$16="Neaktivní",0,Provozování!Q26)</f>
        <v>0</v>
      </c>
      <c r="N64" s="158">
        <f>IF(Provozování!$Q$16="Neaktivní",0,Provozování!R26)</f>
        <v>0</v>
      </c>
      <c r="O64" s="164">
        <f>IF(YEAR(Postup!$H$25)&gt;$O$61,Provozování!T26,IF(AND(DAY(Postup!$H$25)=31,MONTH(Postup!$H$25)=12,YEAR(Postup!$H$25)=$O$61),Provozování!T26,IF(YEAR(Postup!$H$25)=$O$61,Provozování!$BL26,0)))</f>
        <v>0</v>
      </c>
      <c r="P64" s="158">
        <f>IF(YEAR(Postup!$H$25)&gt;$O$61,Provozování!U26,IF(AND(DAY(Postup!$H$25)=31,MONTH(Postup!$H$25)=12,YEAR(Postup!$H$25)=$O$61),Provozování!U26,IF(YEAR(Postup!$H$25)=$O$61,Provozování!$BM26,0)))</f>
        <v>0</v>
      </c>
      <c r="Q64" s="164">
        <f>IF(Provozování!$V$16="Neaktivní",0,Provozování!V26)</f>
        <v>0</v>
      </c>
      <c r="R64" s="158">
        <f>IF(Provozování!$V$16="Neaktivní",0,Provozování!W26)</f>
        <v>0</v>
      </c>
      <c r="S64" s="164">
        <f>IF(YEAR(Postup!$H$25)&gt;$S$61,Provozování!Y26,IF(AND(DAY(Postup!$H$25)=31,MONTH(Postup!$H$25)=12,YEAR(Postup!$H$25)=$S$61),Provozování!Y26,IF(YEAR(Postup!$H$25)=$S$61,Provozování!$BL26,0)))</f>
        <v>0</v>
      </c>
      <c r="T64" s="158">
        <f>IF(YEAR(Postup!$H$25)&gt;$S$61,Provozování!Z26,IF(AND(DAY(Postup!$H$25)=31,MONTH(Postup!$H$25)=12,YEAR(Postup!$H$25)=$S$61),Provozování!Z26,IF(YEAR(Postup!$H$25)=$S$61,Provozování!$BM26,0)))</f>
        <v>0</v>
      </c>
      <c r="U64" s="164">
        <f>IF(Provozování!$AA$16="Neaktivní",0,Provozování!AA26)</f>
        <v>0</v>
      </c>
      <c r="V64" s="158">
        <f>IF(Provozování!$AA$16="Neaktivní",0,Provozování!AB26)</f>
        <v>0</v>
      </c>
      <c r="W64" s="164">
        <f>IF(YEAR(Postup!$H$25)&gt;$W$61,Provozování!AD26,IF(AND(DAY(Postup!$H$25)=31,MONTH(Postup!$H$25)=12,YEAR(Postup!$H$25)=$W$61),Provozování!AD26,IF(YEAR(Postup!$H$25)=$W$61,Provozování!$BL26,0)))</f>
        <v>0</v>
      </c>
      <c r="X64" s="158">
        <f>IF(YEAR(Postup!$H$25)&gt;$W$61,Provozování!AE26,IF(AND(DAY(Postup!$H$25)=31,MONTH(Postup!$H$25)=12,YEAR(Postup!$H$25)=$W$61),Provozování!AE26,IF(YEAR(Postup!$H$25)=$W$61,Provozování!$BM26,0)))</f>
        <v>0</v>
      </c>
      <c r="Y64" s="164">
        <f>IF(Provozování!$AF$16="Neaktivní",0,Provozování!AF26)</f>
        <v>0</v>
      </c>
      <c r="Z64" s="158">
        <f>IF(Provozování!$AF$16="Neaktivní",0,Provozování!AG26)</f>
        <v>0</v>
      </c>
      <c r="AA64" s="164">
        <f>IF(YEAR(Postup!$H$25)&gt;$AA$61,Provozování!AI26,IF(AND(DAY(Postup!$H$25)=31,MONTH(Postup!$H$25)=12,YEAR(Postup!$H$25)=$AA$61),Provozování!AI26,IF(YEAR(Postup!$H$25)=$AA$61,Provozování!$BL26,0)))</f>
        <v>0</v>
      </c>
      <c r="AB64" s="158">
        <f>IF(YEAR(Postup!$H$25)&gt;$AA$61,Provozování!AJ26,IF(AND(DAY(Postup!$H$25)=31,MONTH(Postup!$H$25)=12,YEAR(Postup!$H$25)=$AA$61),Provozování!AJ26,IF(YEAR(Postup!$H$25)=$AA$61,Provozování!$BM26,0)))</f>
        <v>0</v>
      </c>
      <c r="AC64" s="164">
        <f>IF(Provozování!$AK$16="Neaktivní",0,Provozování!AK26)</f>
        <v>0</v>
      </c>
      <c r="AD64" s="158">
        <f>IF(Provozování!$AK$16="Neaktivní",0,Provozování!AL26)</f>
        <v>0</v>
      </c>
      <c r="AE64" s="164">
        <f>IF(YEAR(Postup!$H$25)&gt;$AE$61,Provozování!AN26,IF(AND(DAY(Postup!$H$25)=31,MONTH(Postup!$H$25)=12,YEAR(Postup!$H$25)=$AE$61),Provozování!AN26,IF(YEAR(Postup!$H$25)=$AE$61,Provozování!$BL26,0)))</f>
        <v>0</v>
      </c>
      <c r="AF64" s="158">
        <f>IF(YEAR(Postup!$H$25)&gt;$AE$61,Provozování!AO26,IF(AND(DAY(Postup!$H$25)=31,MONTH(Postup!$H$25)=12,YEAR(Postup!$H$25)=$AE$61),Provozování!AO26,IF(YEAR(Postup!$H$25)=$AE$61,Provozování!$BM26,0)))</f>
        <v>0</v>
      </c>
      <c r="AG64" s="164">
        <f>IF(Provozování!$AP$16="Neaktivní",0,Provozování!AP26)</f>
        <v>0</v>
      </c>
      <c r="AH64" s="158">
        <f>IF(Provozování!$AP$16="Neaktivní",0,Provozování!AQ26)</f>
        <v>0</v>
      </c>
      <c r="AI64" s="164">
        <f>IF(YEAR(Postup!$H$25)&gt;$AI$61,Provozování!AS26,IF(AND(DAY(Postup!$H$25)=31,MONTH(Postup!$H$25)=12,YEAR(Postup!$H$25)=$AI$61),Provozování!AS26,IF(YEAR(Postup!$H$25)=$AI$61,Provozování!$BL26,0)))</f>
        <v>0</v>
      </c>
      <c r="AJ64" s="158">
        <f>IF(YEAR(Postup!$H$25)&gt;$AI$61,Provozování!AT26,IF(AND(DAY(Postup!$H$25)=31,MONTH(Postup!$H$25)=12,YEAR(Postup!$H$25)=$AI$61),Provozování!AT26,IF(YEAR(Postup!$H$25)=$AI$61,Provozování!$BM26,0)))</f>
        <v>0</v>
      </c>
      <c r="AK64" s="164">
        <f>IF(Provozování!$AU$16="Neaktivní",0,Provozování!AU26)</f>
        <v>0</v>
      </c>
      <c r="AL64" s="158">
        <f>IF(Provozování!$AU$16="Neaktivní",0,Provozování!AV26)</f>
        <v>0</v>
      </c>
      <c r="AM64" s="164">
        <f>IF(YEAR(Postup!$H$25)&gt;$AM$61,Provozování!AX26,IF(AND(DAY(Postup!$H$25)=31,MONTH(Postup!$H$25)=12,YEAR(Postup!$H$25)=$AM$61),Provozování!AX26,IF(YEAR(Postup!$H$25)=$AM$61,Provozování!$BL26,0)))</f>
        <v>0</v>
      </c>
      <c r="AN64" s="158">
        <f>IF(YEAR(Postup!$H$25)&gt;$AM$61,Provozování!AY26,IF(AND(DAY(Postup!$H$25)=31,MONTH(Postup!$H$25)=12,YEAR(Postup!$H$25)=$AM$61),Provozování!AY26,IF(YEAR(Postup!$H$25)=$AM$61,Provozování!$BM26,0)))</f>
        <v>0</v>
      </c>
      <c r="AO64" s="164">
        <f>IF(Provozování!$AZ$16="Neaktivní",0,Provozování!AZ26)</f>
        <v>0</v>
      </c>
      <c r="AP64" s="158">
        <f>IF(Provozování!$AZ$16="Neaktivní",0,Provozování!BA26)</f>
        <v>0</v>
      </c>
      <c r="AQ64" s="164">
        <f>IF(YEAR(Postup!$H$25)&gt;$AQ$61,Provozování!BC26,IF(AND(DAY(Postup!$H$25)=31,MONTH(Postup!$H$25)=12,YEAR(Postup!$H$25)=$AQ$61),Provozování!BC26,IF(YEAR(Postup!$H$25)=$AQ$61,Provozování!$BL26,0)))</f>
        <v>0</v>
      </c>
      <c r="AR64" s="158">
        <f>IF(YEAR(Postup!$H$25)&gt;$AM$61,Provozování!BD26,IF(AND(DAY(Postup!$H$25)=31,MONTH(Postup!$H$25)=12,YEAR(Postup!$H$25)=$AM$61),Provozování!BD26,IF(YEAR(Postup!$H$25)=$AM$61,Provozování!$BM26,0)))</f>
        <v>0</v>
      </c>
      <c r="AS64" s="164">
        <f>IF(Provozování!$BE$16="Neaktivní",0,Provozování!BE26)</f>
        <v>0</v>
      </c>
      <c r="AT64" s="158">
        <f>IF(Provozování!$BE$16="Neaktivní",0,Provozování!BF26)</f>
        <v>0</v>
      </c>
      <c r="AU64" s="164">
        <f>IF(YEAR(Postup!$H$25)&gt;$AU$61,Provozování!BH26,IF(AND(DAY(Postup!$H$25)=31,MONTH(Postup!$H$25)=12,YEAR(Postup!$H$25)=$AU$61),Provozování!BH26,IF(YEAR(Postup!$H$25)=$AU$61,Provozování!$BL26,0)))</f>
        <v>0</v>
      </c>
      <c r="AV64" s="158">
        <f>IF(YEAR(Postup!$H$25)&gt;$AU$61,Provozování!BI26,IF(AND(DAY(Postup!$H$25)=31,MONTH(Postup!$H$25)=12,YEAR(Postup!$H$25)=$AU$61),Provozování!BI26,IF(YEAR(Postup!$H$25)=$AU$61,Provozování!$BM26,0)))</f>
        <v>0</v>
      </c>
      <c r="AW64" s="164">
        <f>IF(Provozování!$BJ$16="Neaktivní",0,Provozování!BJ26)</f>
        <v>0</v>
      </c>
      <c r="AX64" s="158">
        <f>IF(Provozování!$BJ$16="Neaktivní",0,Provozování!BK26)</f>
        <v>0</v>
      </c>
    </row>
    <row r="65" spans="1:50" hidden="1" x14ac:dyDescent="0.25">
      <c r="A65" s="33"/>
      <c r="B65" s="12"/>
      <c r="C65" s="457"/>
      <c r="D65" s="457"/>
      <c r="E65" s="457"/>
      <c r="F65" s="3"/>
      <c r="G65" s="164"/>
      <c r="H65" s="158">
        <f>IF(AND(DAY(Postup!$H$24)=1,MONTH(Postup!$H$24)=1),Provozování!F27,Provozování!H27)</f>
        <v>0</v>
      </c>
      <c r="I65" s="164">
        <f>IF(Provozování!$I$16="Neaktivní",0,Provozování!I27)</f>
        <v>0</v>
      </c>
      <c r="J65" s="158">
        <f>IF(Provozování!$I$16="Neaktivní",0,Provozování!J27)</f>
        <v>0</v>
      </c>
      <c r="K65" s="164">
        <f>IF(YEAR(Postup!$H$25)&gt;$K$61,Provozování!O27,IF(AND(DAY(Postup!$H$25)=31,MONTH(Postup!$H$25)=12,YEAR(Postup!$H$25)=$K$61),Provozování!O27,IF(YEAR(Postup!$H$25)=$K$61,Provozování!$BL27,0)))</f>
        <v>0</v>
      </c>
      <c r="L65" s="158">
        <f>IF(YEAR(Postup!$H$25)&gt;$K$61,Provozování!P27,IF(AND(DAY(Postup!$H$25)=31,MONTH(Postup!$H$25)=12,YEAR(Postup!$H$25)=$K$61),Provozování!P27,IF(YEAR(Postup!$H$25)=$K$61,Provozování!$BM27,0)))</f>
        <v>0</v>
      </c>
      <c r="M65" s="164">
        <f>IF(Provozování!$Q$16="Neaktivní",0,Provozování!Q27)</f>
        <v>0</v>
      </c>
      <c r="N65" s="158">
        <f>IF(Provozování!$Q$16="Neaktivní",0,Provozování!R27)</f>
        <v>0</v>
      </c>
      <c r="O65" s="164">
        <f>IF(YEAR(Postup!$H$25)&gt;$O$61,Provozování!T27,IF(AND(DAY(Postup!$H$25)=31,MONTH(Postup!$H$25)=12,YEAR(Postup!$H$25)=$O$61),Provozování!T27,IF(YEAR(Postup!$H$25)=$O$61,Provozování!$BL27,0)))</f>
        <v>0</v>
      </c>
      <c r="P65" s="158">
        <f>IF(YEAR(Postup!$H$25)&gt;$O$61,Provozování!U27,IF(AND(DAY(Postup!$H$25)=31,MONTH(Postup!$H$25)=12,YEAR(Postup!$H$25)=$O$61),Provozování!U27,IF(YEAR(Postup!$H$25)=$O$61,Provozování!$BM27,0)))</f>
        <v>0</v>
      </c>
      <c r="Q65" s="164">
        <f>IF(Provozování!$V$16="Neaktivní",0,Provozování!V27)</f>
        <v>0</v>
      </c>
      <c r="R65" s="158">
        <f>IF(Provozování!$V$16="Neaktivní",0,Provozování!W27)</f>
        <v>0</v>
      </c>
      <c r="S65" s="164">
        <f>IF(YEAR(Postup!$H$25)&gt;$S$61,Provozování!Y27,IF(AND(DAY(Postup!$H$25)=31,MONTH(Postup!$H$25)=12,YEAR(Postup!$H$25)=$S$61),Provozování!Y27,IF(YEAR(Postup!$H$25)=$S$61,Provozování!$BL27,0)))</f>
        <v>0</v>
      </c>
      <c r="T65" s="158">
        <f>IF(YEAR(Postup!$H$25)&gt;$S$61,Provozování!Z27,IF(AND(DAY(Postup!$H$25)=31,MONTH(Postup!$H$25)=12,YEAR(Postup!$H$25)=$S$61),Provozování!Z27,IF(YEAR(Postup!$H$25)=$S$61,Provozování!$BM27,0)))</f>
        <v>0</v>
      </c>
      <c r="U65" s="164">
        <f>IF(Provozování!$AA$16="Neaktivní",0,Provozování!AA27)</f>
        <v>0</v>
      </c>
      <c r="V65" s="158">
        <f>IF(Provozování!$AA$16="Neaktivní",0,Provozování!AB27)</f>
        <v>0</v>
      </c>
      <c r="W65" s="164">
        <f>IF(YEAR(Postup!$H$25)&gt;$W$61,Provozování!AD27,IF(AND(DAY(Postup!$H$25)=31,MONTH(Postup!$H$25)=12,YEAR(Postup!$H$25)=$W$61),Provozování!AD27,IF(YEAR(Postup!$H$25)=$W$61,Provozování!$BL27,0)))</f>
        <v>0</v>
      </c>
      <c r="X65" s="158">
        <f>IF(YEAR(Postup!$H$25)&gt;$W$61,Provozování!AE27,IF(AND(DAY(Postup!$H$25)=31,MONTH(Postup!$H$25)=12,YEAR(Postup!$H$25)=$W$61),Provozování!AE27,IF(YEAR(Postup!$H$25)=$W$61,Provozování!$BM27,0)))</f>
        <v>0</v>
      </c>
      <c r="Y65" s="164">
        <f>IF(Provozování!$AF$16="Neaktivní",0,Provozování!AF27)</f>
        <v>0</v>
      </c>
      <c r="Z65" s="158">
        <f>IF(Provozování!$AF$16="Neaktivní",0,Provozování!AG27)</f>
        <v>0</v>
      </c>
      <c r="AA65" s="164">
        <f>IF(YEAR(Postup!$H$25)&gt;$AA$61,Provozování!AI27,IF(AND(DAY(Postup!$H$25)=31,MONTH(Postup!$H$25)=12,YEAR(Postup!$H$25)=$AA$61),Provozování!AI27,IF(YEAR(Postup!$H$25)=$AA$61,Provozování!$BL27,0)))</f>
        <v>0</v>
      </c>
      <c r="AB65" s="158">
        <f>IF(YEAR(Postup!$H$25)&gt;$AA$61,Provozování!AJ27,IF(AND(DAY(Postup!$H$25)=31,MONTH(Postup!$H$25)=12,YEAR(Postup!$H$25)=$AA$61),Provozování!AJ27,IF(YEAR(Postup!$H$25)=$AA$61,Provozování!$BM27,0)))</f>
        <v>0</v>
      </c>
      <c r="AC65" s="164">
        <f>IF(Provozování!$AK$16="Neaktivní",0,Provozování!AK27)</f>
        <v>0</v>
      </c>
      <c r="AD65" s="158">
        <f>IF(Provozování!$AK$16="Neaktivní",0,Provozování!AL27)</f>
        <v>0</v>
      </c>
      <c r="AE65" s="164">
        <f>IF(YEAR(Postup!$H$25)&gt;$AE$61,Provozování!AN27,IF(AND(DAY(Postup!$H$25)=31,MONTH(Postup!$H$25)=12,YEAR(Postup!$H$25)=$AE$61),Provozování!AN27,IF(YEAR(Postup!$H$25)=$AE$61,Provozování!$BL27,0)))</f>
        <v>0</v>
      </c>
      <c r="AF65" s="158">
        <f>IF(YEAR(Postup!$H$25)&gt;$AE$61,Provozování!AO27,IF(AND(DAY(Postup!$H$25)=31,MONTH(Postup!$H$25)=12,YEAR(Postup!$H$25)=$AE$61),Provozování!AO27,IF(YEAR(Postup!$H$25)=$AE$61,Provozování!$BM27,0)))</f>
        <v>0</v>
      </c>
      <c r="AG65" s="164">
        <f>IF(Provozování!$AP$16="Neaktivní",0,Provozování!AP27)</f>
        <v>0</v>
      </c>
      <c r="AH65" s="158">
        <f>IF(Provozování!$AP$16="Neaktivní",0,Provozování!AQ27)</f>
        <v>0</v>
      </c>
      <c r="AI65" s="164">
        <f>IF(YEAR(Postup!$H$25)&gt;$AI$61,Provozování!AS27,IF(AND(DAY(Postup!$H$25)=31,MONTH(Postup!$H$25)=12,YEAR(Postup!$H$25)=$AI$61),Provozování!AS27,IF(YEAR(Postup!$H$25)=$AI$61,Provozování!$BL27,0)))</f>
        <v>0</v>
      </c>
      <c r="AJ65" s="158">
        <f>IF(YEAR(Postup!$H$25)&gt;$AI$61,Provozování!AT27,IF(AND(DAY(Postup!$H$25)=31,MONTH(Postup!$H$25)=12,YEAR(Postup!$H$25)=$AI$61),Provozování!AT27,IF(YEAR(Postup!$H$25)=$AI$61,Provozování!$BM27,0)))</f>
        <v>0</v>
      </c>
      <c r="AK65" s="164">
        <f>IF(Provozování!$AU$16="Neaktivní",0,Provozování!AU27)</f>
        <v>0</v>
      </c>
      <c r="AL65" s="158">
        <f>IF(Provozování!$AU$16="Neaktivní",0,Provozování!AV27)</f>
        <v>0</v>
      </c>
      <c r="AM65" s="164">
        <f>IF(YEAR(Postup!$H$25)&gt;$AM$61,Provozování!AX27,IF(AND(DAY(Postup!$H$25)=31,MONTH(Postup!$H$25)=12,YEAR(Postup!$H$25)=$AM$61),Provozování!AX27,IF(YEAR(Postup!$H$25)=$AM$61,Provozování!$BL27,0)))</f>
        <v>0</v>
      </c>
      <c r="AN65" s="158">
        <f>IF(YEAR(Postup!$H$25)&gt;$AM$61,Provozování!AY27,IF(AND(DAY(Postup!$H$25)=31,MONTH(Postup!$H$25)=12,YEAR(Postup!$H$25)=$AM$61),Provozování!AY27,IF(YEAR(Postup!$H$25)=$AM$61,Provozování!$BM27,0)))</f>
        <v>0</v>
      </c>
      <c r="AO65" s="164">
        <f>IF(Provozování!$AZ$16="Neaktivní",0,Provozování!AZ27)</f>
        <v>0</v>
      </c>
      <c r="AP65" s="158">
        <f>IF(Provozování!$AZ$16="Neaktivní",0,Provozování!BA27)</f>
        <v>0</v>
      </c>
      <c r="AQ65" s="164">
        <f>IF(YEAR(Postup!$H$25)&gt;$AQ$61,Provozování!BC27,IF(AND(DAY(Postup!$H$25)=31,MONTH(Postup!$H$25)=12,YEAR(Postup!$H$25)=$AQ$61),Provozování!BC27,IF(YEAR(Postup!$H$25)=$AQ$61,Provozování!$BL27,0)))</f>
        <v>0</v>
      </c>
      <c r="AR65" s="158">
        <f>IF(YEAR(Postup!$H$25)&gt;$AM$61,Provozování!BD27,IF(AND(DAY(Postup!$H$25)=31,MONTH(Postup!$H$25)=12,YEAR(Postup!$H$25)=$AM$61),Provozování!BD27,IF(YEAR(Postup!$H$25)=$AM$61,Provozování!$BM27,0)))</f>
        <v>0</v>
      </c>
      <c r="AS65" s="164">
        <f>IF(Provozování!$BE$16="Neaktivní",0,Provozování!BE27)</f>
        <v>0</v>
      </c>
      <c r="AT65" s="158">
        <f>IF(Provozování!$BE$16="Neaktivní",0,Provozování!BF27)</f>
        <v>0</v>
      </c>
      <c r="AU65" s="164">
        <f>IF(YEAR(Postup!$H$25)&gt;$AU$61,Provozování!BH27,IF(AND(DAY(Postup!$H$25)=31,MONTH(Postup!$H$25)=12,YEAR(Postup!$H$25)=$AU$61),Provozování!BH27,IF(YEAR(Postup!$H$25)=$AU$61,Provozování!$BL27,0)))</f>
        <v>0</v>
      </c>
      <c r="AV65" s="158">
        <f>IF(YEAR(Postup!$H$25)&gt;$AU$61,Provozování!BI27,IF(AND(DAY(Postup!$H$25)=31,MONTH(Postup!$H$25)=12,YEAR(Postup!$H$25)=$AU$61),Provozování!BI27,IF(YEAR(Postup!$H$25)=$AU$61,Provozování!$BM27,0)))</f>
        <v>0</v>
      </c>
      <c r="AW65" s="164">
        <f>IF(Provozování!$BJ$16="Neaktivní",0,Provozování!BJ27)</f>
        <v>0</v>
      </c>
      <c r="AX65" s="158">
        <f>IF(Provozování!$BJ$16="Neaktivní",0,Provozování!BK27)</f>
        <v>0</v>
      </c>
    </row>
    <row r="66" spans="1:50" x14ac:dyDescent="0.25">
      <c r="A66" s="33"/>
      <c r="B66" s="12" t="s">
        <v>21</v>
      </c>
      <c r="C66" s="919" t="s">
        <v>22</v>
      </c>
      <c r="D66" s="919"/>
      <c r="E66" s="919"/>
      <c r="F66" s="3" t="s">
        <v>10</v>
      </c>
      <c r="G66" s="164">
        <f>IF(AND(DAY(Postup!$H$24)=1,MONTH(Postup!$H$24)=1),Provozování!E28,Provozování!G28)</f>
        <v>0</v>
      </c>
      <c r="H66" s="158">
        <f>IF(AND(DAY(Postup!$H$24)=1,MONTH(Postup!$H$24)=1),Provozování!F28,Provozování!H28)</f>
        <v>0</v>
      </c>
      <c r="I66" s="164">
        <f>IF(Provozování!$I$16="Neaktivní",0,Provozování!I28)</f>
        <v>0</v>
      </c>
      <c r="J66" s="158">
        <f>IF(Provozování!$I$16="Neaktivní",0,Provozování!J28)</f>
        <v>0</v>
      </c>
      <c r="K66" s="164">
        <f>IF(YEAR(Postup!$H$25)&gt;$K$61,Provozování!O28,IF(AND(DAY(Postup!$H$25)=31,MONTH(Postup!$H$25)=12,YEAR(Postup!$H$25)=$K$61),Provozování!O28,IF(YEAR(Postup!$H$25)=$K$61,Provozování!$BL28,0)))</f>
        <v>0</v>
      </c>
      <c r="L66" s="158">
        <f>IF(YEAR(Postup!$H$25)&gt;$K$61,Provozování!P28,IF(AND(DAY(Postup!$H$25)=31,MONTH(Postup!$H$25)=12,YEAR(Postup!$H$25)=$K$61),Provozování!P28,IF(YEAR(Postup!$H$25)=$K$61,Provozování!$BM28,0)))</f>
        <v>0</v>
      </c>
      <c r="M66" s="164">
        <f>IF(Provozování!$Q$16="Neaktivní",0,Provozování!Q28)</f>
        <v>0</v>
      </c>
      <c r="N66" s="158">
        <f>IF(Provozování!$Q$16="Neaktivní",0,Provozování!R28)</f>
        <v>0</v>
      </c>
      <c r="O66" s="164">
        <f>IF(YEAR(Postup!$H$25)&gt;$O$61,Provozování!T28,IF(AND(DAY(Postup!$H$25)=31,MONTH(Postup!$H$25)=12,YEAR(Postup!$H$25)=$O$61),Provozování!T28,IF(YEAR(Postup!$H$25)=$O$61,Provozování!$BL28,0)))</f>
        <v>0</v>
      </c>
      <c r="P66" s="158">
        <f>IF(YEAR(Postup!$H$25)&gt;$O$61,Provozování!U28,IF(AND(DAY(Postup!$H$25)=31,MONTH(Postup!$H$25)=12,YEAR(Postup!$H$25)=$O$61),Provozování!U28,IF(YEAR(Postup!$H$25)=$O$61,Provozování!$BM28,0)))</f>
        <v>0</v>
      </c>
      <c r="Q66" s="164">
        <f>IF(Provozování!$V$16="Neaktivní",0,Provozování!V28)</f>
        <v>0</v>
      </c>
      <c r="R66" s="158">
        <f>IF(Provozování!$V$16="Neaktivní",0,Provozování!W28)</f>
        <v>0</v>
      </c>
      <c r="S66" s="164">
        <f>IF(YEAR(Postup!$H$25)&gt;$S$61,Provozování!Y28,IF(AND(DAY(Postup!$H$25)=31,MONTH(Postup!$H$25)=12,YEAR(Postup!$H$25)=$S$61),Provozování!Y28,IF(YEAR(Postup!$H$25)=$S$61,Provozování!$BL28,0)))</f>
        <v>0</v>
      </c>
      <c r="T66" s="158">
        <f>IF(YEAR(Postup!$H$25)&gt;$S$61,Provozování!Z28,IF(AND(DAY(Postup!$H$25)=31,MONTH(Postup!$H$25)=12,YEAR(Postup!$H$25)=$S$61),Provozování!Z28,IF(YEAR(Postup!$H$25)=$S$61,Provozování!$BM28,0)))</f>
        <v>0</v>
      </c>
      <c r="U66" s="164">
        <f>IF(Provozování!$AA$16="Neaktivní",0,Provozování!AA28)</f>
        <v>0</v>
      </c>
      <c r="V66" s="158">
        <f>IF(Provozování!$AA$16="Neaktivní",0,Provozování!AB28)</f>
        <v>0</v>
      </c>
      <c r="W66" s="164">
        <f>IF(YEAR(Postup!$H$25)&gt;$W$61,Provozování!AD28,IF(AND(DAY(Postup!$H$25)=31,MONTH(Postup!$H$25)=12,YEAR(Postup!$H$25)=$W$61),Provozování!AD28,IF(YEAR(Postup!$H$25)=$W$61,Provozování!$BL28,0)))</f>
        <v>0</v>
      </c>
      <c r="X66" s="158">
        <f>IF(YEAR(Postup!$H$25)&gt;$W$61,Provozování!AE28,IF(AND(DAY(Postup!$H$25)=31,MONTH(Postup!$H$25)=12,YEAR(Postup!$H$25)=$W$61),Provozování!AE28,IF(YEAR(Postup!$H$25)=$W$61,Provozování!$BM28,0)))</f>
        <v>0</v>
      </c>
      <c r="Y66" s="164">
        <f>IF(Provozování!$AF$16="Neaktivní",0,Provozování!AF28)</f>
        <v>0</v>
      </c>
      <c r="Z66" s="158">
        <f>IF(Provozování!$AF$16="Neaktivní",0,Provozování!AG28)</f>
        <v>0</v>
      </c>
      <c r="AA66" s="164">
        <f>IF(YEAR(Postup!$H$25)&gt;$AA$61,Provozování!AI28,IF(AND(DAY(Postup!$H$25)=31,MONTH(Postup!$H$25)=12,YEAR(Postup!$H$25)=$AA$61),Provozování!AI28,IF(YEAR(Postup!$H$25)=$AA$61,Provozování!$BL28,0)))</f>
        <v>0</v>
      </c>
      <c r="AB66" s="158">
        <f>IF(YEAR(Postup!$H$25)&gt;$AA$61,Provozování!AJ28,IF(AND(DAY(Postup!$H$25)=31,MONTH(Postup!$H$25)=12,YEAR(Postup!$H$25)=$AA$61),Provozování!AJ28,IF(YEAR(Postup!$H$25)=$AA$61,Provozování!$BM28,0)))</f>
        <v>0</v>
      </c>
      <c r="AC66" s="164">
        <f>IF(Provozování!$AK$16="Neaktivní",0,Provozování!AK28)</f>
        <v>0</v>
      </c>
      <c r="AD66" s="158">
        <f>IF(Provozování!$AK$16="Neaktivní",0,Provozování!AL28)</f>
        <v>0</v>
      </c>
      <c r="AE66" s="164">
        <f>IF(YEAR(Postup!$H$25)&gt;$AE$61,Provozování!AN28,IF(AND(DAY(Postup!$H$25)=31,MONTH(Postup!$H$25)=12,YEAR(Postup!$H$25)=$AE$61),Provozování!AN28,IF(YEAR(Postup!$H$25)=$AE$61,Provozování!$BL28,0)))</f>
        <v>0</v>
      </c>
      <c r="AF66" s="158">
        <f>IF(YEAR(Postup!$H$25)&gt;$AE$61,Provozování!AO28,IF(AND(DAY(Postup!$H$25)=31,MONTH(Postup!$H$25)=12,YEAR(Postup!$H$25)=$AE$61),Provozování!AO28,IF(YEAR(Postup!$H$25)=$AE$61,Provozování!$BM28,0)))</f>
        <v>0</v>
      </c>
      <c r="AG66" s="164">
        <f>IF(Provozování!$AP$16="Neaktivní",0,Provozování!AP28)</f>
        <v>0</v>
      </c>
      <c r="AH66" s="158">
        <f>IF(Provozování!$AP$16="Neaktivní",0,Provozování!AQ28)</f>
        <v>0</v>
      </c>
      <c r="AI66" s="164">
        <f>IF(YEAR(Postup!$H$25)&gt;$AI$61,Provozování!AS28,IF(AND(DAY(Postup!$H$25)=31,MONTH(Postup!$H$25)=12,YEAR(Postup!$H$25)=$AI$61),Provozování!AS28,IF(YEAR(Postup!$H$25)=$AI$61,Provozování!$BL28,0)))</f>
        <v>0</v>
      </c>
      <c r="AJ66" s="158">
        <f>IF(YEAR(Postup!$H$25)&gt;$AI$61,Provozování!AT28,IF(AND(DAY(Postup!$H$25)=31,MONTH(Postup!$H$25)=12,YEAR(Postup!$H$25)=$AI$61),Provozování!AT28,IF(YEAR(Postup!$H$25)=$AI$61,Provozování!$BM28,0)))</f>
        <v>0</v>
      </c>
      <c r="AK66" s="164">
        <f>IF(Provozování!$AU$16="Neaktivní",0,Provozování!AU28)</f>
        <v>0</v>
      </c>
      <c r="AL66" s="158">
        <f>IF(Provozování!$AU$16="Neaktivní",0,Provozování!AV28)</f>
        <v>0</v>
      </c>
      <c r="AM66" s="164">
        <f>IF(YEAR(Postup!$H$25)&gt;$AM$61,Provozování!AX28,IF(AND(DAY(Postup!$H$25)=31,MONTH(Postup!$H$25)=12,YEAR(Postup!$H$25)=$AM$61),Provozování!AX28,IF(YEAR(Postup!$H$25)=$AM$61,Provozování!$BL28,0)))</f>
        <v>0</v>
      </c>
      <c r="AN66" s="158">
        <f>IF(YEAR(Postup!$H$25)&gt;$AM$61,Provozování!AY28,IF(AND(DAY(Postup!$H$25)=31,MONTH(Postup!$H$25)=12,YEAR(Postup!$H$25)=$AM$61),Provozování!AY28,IF(YEAR(Postup!$H$25)=$AM$61,Provozování!$BM28,0)))</f>
        <v>0</v>
      </c>
      <c r="AO66" s="164">
        <f>IF(Provozování!$AZ$16="Neaktivní",0,Provozování!AZ28)</f>
        <v>0</v>
      </c>
      <c r="AP66" s="158">
        <f>IF(Provozování!$AZ$16="Neaktivní",0,Provozování!BA28)</f>
        <v>0</v>
      </c>
      <c r="AQ66" s="164">
        <f>IF(YEAR(Postup!$H$25)&gt;$AQ$61,Provozování!BC28,IF(AND(DAY(Postup!$H$25)=31,MONTH(Postup!$H$25)=12,YEAR(Postup!$H$25)=$AQ$61),Provozování!BC28,IF(YEAR(Postup!$H$25)=$AQ$61,Provozování!$BL28,0)))</f>
        <v>0</v>
      </c>
      <c r="AR66" s="158">
        <f>IF(YEAR(Postup!$H$25)&gt;$AM$61,Provozování!BD28,IF(AND(DAY(Postup!$H$25)=31,MONTH(Postup!$H$25)=12,YEAR(Postup!$H$25)=$AM$61),Provozování!BD28,IF(YEAR(Postup!$H$25)=$AM$61,Provozování!$BM28,0)))</f>
        <v>0</v>
      </c>
      <c r="AS66" s="164">
        <f>IF(Provozování!$BE$16="Neaktivní",0,Provozování!BE28)</f>
        <v>0</v>
      </c>
      <c r="AT66" s="158">
        <f>IF(Provozování!$BE$16="Neaktivní",0,Provozování!BF28)</f>
        <v>0</v>
      </c>
      <c r="AU66" s="164">
        <f>IF(YEAR(Postup!$H$25)&gt;$AU$61,Provozování!BH28,IF(AND(DAY(Postup!$H$25)=31,MONTH(Postup!$H$25)=12,YEAR(Postup!$H$25)=$AU$61),Provozování!BH28,IF(YEAR(Postup!$H$25)=$AU$61,Provozování!$BL28,0)))</f>
        <v>0</v>
      </c>
      <c r="AV66" s="158">
        <f>IF(YEAR(Postup!$H$25)&gt;$AU$61,Provozování!BI28,IF(AND(DAY(Postup!$H$25)=31,MONTH(Postup!$H$25)=12,YEAR(Postup!$H$25)=$AU$61),Provozování!BI28,IF(YEAR(Postup!$H$25)=$AU$61,Provozování!$BM28,0)))</f>
        <v>0</v>
      </c>
      <c r="AW66" s="164">
        <f>IF(Provozování!$BJ$16="Neaktivní",0,Provozování!BJ28)</f>
        <v>0</v>
      </c>
      <c r="AX66" s="158">
        <f>IF(Provozování!$BJ$16="Neaktivní",0,Provozování!BK28)</f>
        <v>0</v>
      </c>
    </row>
    <row r="67" spans="1:50" x14ac:dyDescent="0.25">
      <c r="A67" s="33"/>
      <c r="B67" s="12" t="s">
        <v>23</v>
      </c>
      <c r="C67" s="919" t="s">
        <v>24</v>
      </c>
      <c r="D67" s="919"/>
      <c r="E67" s="919"/>
      <c r="F67" s="3" t="s">
        <v>10</v>
      </c>
      <c r="G67" s="164">
        <f>IF(AND(DAY(Postup!$H$24)=1,MONTH(Postup!$H$24)=1),Provozování!E29,Provozování!G29)</f>
        <v>0</v>
      </c>
      <c r="H67" s="158">
        <f>IF(AND(DAY(Postup!$H$24)=1,MONTH(Postup!$H$24)=1),Provozování!F29,Provozování!H29)</f>
        <v>0</v>
      </c>
      <c r="I67" s="164">
        <f>IF(Provozování!$I$16="Neaktivní",0,Provozování!I29)</f>
        <v>0</v>
      </c>
      <c r="J67" s="158">
        <f>IF(Provozování!$I$16="Neaktivní",0,Provozování!J29)</f>
        <v>0</v>
      </c>
      <c r="K67" s="164">
        <f>IF(YEAR(Postup!$H$25)&gt;$K$61,Provozování!O29,IF(AND(DAY(Postup!$H$25)=31,MONTH(Postup!$H$25)=12,YEAR(Postup!$H$25)=$K$61),Provozování!O29,IF(YEAR(Postup!$H$25)=$K$61,Provozování!$BL29,0)))</f>
        <v>0</v>
      </c>
      <c r="L67" s="158">
        <f>IF(YEAR(Postup!$H$25)&gt;$K$61,Provozování!P29,IF(AND(DAY(Postup!$H$25)=31,MONTH(Postup!$H$25)=12,YEAR(Postup!$H$25)=$K$61),Provozování!P29,IF(YEAR(Postup!$H$25)=$K$61,Provozování!$BM29,0)))</f>
        <v>0</v>
      </c>
      <c r="M67" s="164">
        <f>IF(Provozování!$Q$16="Neaktivní",0,Provozování!Q29)</f>
        <v>0</v>
      </c>
      <c r="N67" s="158">
        <f>IF(Provozování!$Q$16="Neaktivní",0,Provozování!R29)</f>
        <v>0</v>
      </c>
      <c r="O67" s="164">
        <f>IF(YEAR(Postup!$H$25)&gt;$O$61,Provozování!T29,IF(AND(DAY(Postup!$H$25)=31,MONTH(Postup!$H$25)=12,YEAR(Postup!$H$25)=$O$61),Provozování!T29,IF(YEAR(Postup!$H$25)=$O$61,Provozování!$BL29,0)))</f>
        <v>0</v>
      </c>
      <c r="P67" s="158">
        <f>IF(YEAR(Postup!$H$25)&gt;$O$61,Provozování!U29,IF(AND(DAY(Postup!$H$25)=31,MONTH(Postup!$H$25)=12,YEAR(Postup!$H$25)=$O$61),Provozování!U29,IF(YEAR(Postup!$H$25)=$O$61,Provozování!$BM29,0)))</f>
        <v>0</v>
      </c>
      <c r="Q67" s="164">
        <f>IF(Provozování!$V$16="Neaktivní",0,Provozování!V29)</f>
        <v>0</v>
      </c>
      <c r="R67" s="158">
        <f>IF(Provozování!$V$16="Neaktivní",0,Provozování!W29)</f>
        <v>0</v>
      </c>
      <c r="S67" s="164">
        <f>IF(YEAR(Postup!$H$25)&gt;$S$61,Provozování!Y29,IF(AND(DAY(Postup!$H$25)=31,MONTH(Postup!$H$25)=12,YEAR(Postup!$H$25)=$S$61),Provozování!Y29,IF(YEAR(Postup!$H$25)=$S$61,Provozování!$BL29,0)))</f>
        <v>0</v>
      </c>
      <c r="T67" s="158">
        <f>IF(YEAR(Postup!$H$25)&gt;$S$61,Provozování!Z29,IF(AND(DAY(Postup!$H$25)=31,MONTH(Postup!$H$25)=12,YEAR(Postup!$H$25)=$S$61),Provozování!Z29,IF(YEAR(Postup!$H$25)=$S$61,Provozování!$BM29,0)))</f>
        <v>0</v>
      </c>
      <c r="U67" s="164">
        <f>IF(Provozování!$AA$16="Neaktivní",0,Provozování!AA29)</f>
        <v>0</v>
      </c>
      <c r="V67" s="158">
        <f>IF(Provozování!$AA$16="Neaktivní",0,Provozování!AB29)</f>
        <v>0</v>
      </c>
      <c r="W67" s="164">
        <f>IF(YEAR(Postup!$H$25)&gt;$W$61,Provozování!AD29,IF(AND(DAY(Postup!$H$25)=31,MONTH(Postup!$H$25)=12,YEAR(Postup!$H$25)=$W$61),Provozování!AD29,IF(YEAR(Postup!$H$25)=$W$61,Provozování!$BL29,0)))</f>
        <v>0</v>
      </c>
      <c r="X67" s="158">
        <f>IF(YEAR(Postup!$H$25)&gt;$W$61,Provozování!AE29,IF(AND(DAY(Postup!$H$25)=31,MONTH(Postup!$H$25)=12,YEAR(Postup!$H$25)=$W$61),Provozování!AE29,IF(YEAR(Postup!$H$25)=$W$61,Provozování!$BM29,0)))</f>
        <v>0</v>
      </c>
      <c r="Y67" s="164">
        <f>IF(Provozování!$AF$16="Neaktivní",0,Provozování!AF29)</f>
        <v>0</v>
      </c>
      <c r="Z67" s="158">
        <f>IF(Provozování!$AF$16="Neaktivní",0,Provozování!AG29)</f>
        <v>0</v>
      </c>
      <c r="AA67" s="164">
        <f>IF(YEAR(Postup!$H$25)&gt;$AA$61,Provozování!AI29,IF(AND(DAY(Postup!$H$25)=31,MONTH(Postup!$H$25)=12,YEAR(Postup!$H$25)=$AA$61),Provozování!AI29,IF(YEAR(Postup!$H$25)=$AA$61,Provozování!$BL29,0)))</f>
        <v>0</v>
      </c>
      <c r="AB67" s="158">
        <f>IF(YEAR(Postup!$H$25)&gt;$AA$61,Provozování!AJ29,IF(AND(DAY(Postup!$H$25)=31,MONTH(Postup!$H$25)=12,YEAR(Postup!$H$25)=$AA$61),Provozování!AJ29,IF(YEAR(Postup!$H$25)=$AA$61,Provozování!$BM29,0)))</f>
        <v>0</v>
      </c>
      <c r="AC67" s="164">
        <f>IF(Provozování!$AK$16="Neaktivní",0,Provozování!AK29)</f>
        <v>0</v>
      </c>
      <c r="AD67" s="158">
        <f>IF(Provozování!$AK$16="Neaktivní",0,Provozování!AL29)</f>
        <v>0</v>
      </c>
      <c r="AE67" s="164">
        <f>IF(YEAR(Postup!$H$25)&gt;$AE$61,Provozování!AN29,IF(AND(DAY(Postup!$H$25)=31,MONTH(Postup!$H$25)=12,YEAR(Postup!$H$25)=$AE$61),Provozování!AN29,IF(YEAR(Postup!$H$25)=$AE$61,Provozování!$BL29,0)))</f>
        <v>0</v>
      </c>
      <c r="AF67" s="158">
        <f>IF(YEAR(Postup!$H$25)&gt;$AE$61,Provozování!AO29,IF(AND(DAY(Postup!$H$25)=31,MONTH(Postup!$H$25)=12,YEAR(Postup!$H$25)=$AE$61),Provozování!AO29,IF(YEAR(Postup!$H$25)=$AE$61,Provozování!$BM29,0)))</f>
        <v>0</v>
      </c>
      <c r="AG67" s="164">
        <f>IF(Provozování!$AP$16="Neaktivní",0,Provozování!AP29)</f>
        <v>0</v>
      </c>
      <c r="AH67" s="158">
        <f>IF(Provozování!$AP$16="Neaktivní",0,Provozování!AQ29)</f>
        <v>0</v>
      </c>
      <c r="AI67" s="164">
        <f>IF(YEAR(Postup!$H$25)&gt;$AI$61,Provozování!AS29,IF(AND(DAY(Postup!$H$25)=31,MONTH(Postup!$H$25)=12,YEAR(Postup!$H$25)=$AI$61),Provozování!AS29,IF(YEAR(Postup!$H$25)=$AI$61,Provozování!$BL29,0)))</f>
        <v>0</v>
      </c>
      <c r="AJ67" s="158">
        <f>IF(YEAR(Postup!$H$25)&gt;$AI$61,Provozování!AT29,IF(AND(DAY(Postup!$H$25)=31,MONTH(Postup!$H$25)=12,YEAR(Postup!$H$25)=$AI$61),Provozování!AT29,IF(YEAR(Postup!$H$25)=$AI$61,Provozování!$BM29,0)))</f>
        <v>0</v>
      </c>
      <c r="AK67" s="164">
        <f>IF(Provozování!$AU$16="Neaktivní",0,Provozování!AU29)</f>
        <v>0</v>
      </c>
      <c r="AL67" s="158">
        <f>IF(Provozování!$AU$16="Neaktivní",0,Provozování!AV29)</f>
        <v>0</v>
      </c>
      <c r="AM67" s="164">
        <f>IF(YEAR(Postup!$H$25)&gt;$AM$61,Provozování!AX29,IF(AND(DAY(Postup!$H$25)=31,MONTH(Postup!$H$25)=12,YEAR(Postup!$H$25)=$AM$61),Provozování!AX29,IF(YEAR(Postup!$H$25)=$AM$61,Provozování!$BL29,0)))</f>
        <v>0</v>
      </c>
      <c r="AN67" s="158">
        <f>IF(YEAR(Postup!$H$25)&gt;$AM$61,Provozování!AY29,IF(AND(DAY(Postup!$H$25)=31,MONTH(Postup!$H$25)=12,YEAR(Postup!$H$25)=$AM$61),Provozování!AY29,IF(YEAR(Postup!$H$25)=$AM$61,Provozování!$BM29,0)))</f>
        <v>0</v>
      </c>
      <c r="AO67" s="164">
        <f>IF(Provozování!$AZ$16="Neaktivní",0,Provozování!AZ29)</f>
        <v>0</v>
      </c>
      <c r="AP67" s="158">
        <f>IF(Provozování!$AZ$16="Neaktivní",0,Provozování!BA29)</f>
        <v>0</v>
      </c>
      <c r="AQ67" s="164">
        <f>IF(YEAR(Postup!$H$25)&gt;$AQ$61,Provozování!BC29,IF(AND(DAY(Postup!$H$25)=31,MONTH(Postup!$H$25)=12,YEAR(Postup!$H$25)=$AQ$61),Provozování!BC29,IF(YEAR(Postup!$H$25)=$AQ$61,Provozování!$BL29,0)))</f>
        <v>0</v>
      </c>
      <c r="AR67" s="158">
        <f>IF(YEAR(Postup!$H$25)&gt;$AM$61,Provozování!BD29,IF(AND(DAY(Postup!$H$25)=31,MONTH(Postup!$H$25)=12,YEAR(Postup!$H$25)=$AM$61),Provozování!BD29,IF(YEAR(Postup!$H$25)=$AM$61,Provozování!$BM29,0)))</f>
        <v>0</v>
      </c>
      <c r="AS67" s="164">
        <f>IF(Provozování!$BE$16="Neaktivní",0,Provozování!BE29)</f>
        <v>0</v>
      </c>
      <c r="AT67" s="158">
        <f>IF(Provozování!$BE$16="Neaktivní",0,Provozování!BF29)</f>
        <v>0</v>
      </c>
      <c r="AU67" s="164">
        <f>IF(YEAR(Postup!$H$25)&gt;$AU$61,Provozování!BH29,IF(AND(DAY(Postup!$H$25)=31,MONTH(Postup!$H$25)=12,YEAR(Postup!$H$25)=$AU$61),Provozování!BH29,IF(YEAR(Postup!$H$25)=$AU$61,Provozování!$BL29,0)))</f>
        <v>0</v>
      </c>
      <c r="AV67" s="158">
        <f>IF(YEAR(Postup!$H$25)&gt;$AU$61,Provozování!BI29,IF(AND(DAY(Postup!$H$25)=31,MONTH(Postup!$H$25)=12,YEAR(Postup!$H$25)=$AU$61),Provozování!BI29,IF(YEAR(Postup!$H$25)=$AU$61,Provozování!$BM29,0)))</f>
        <v>0</v>
      </c>
      <c r="AW67" s="164">
        <f>IF(Provozování!$BJ$16="Neaktivní",0,Provozování!BJ29)</f>
        <v>0</v>
      </c>
      <c r="AX67" s="158">
        <f>IF(Provozování!$BJ$16="Neaktivní",0,Provozování!BK29)</f>
        <v>0</v>
      </c>
    </row>
    <row r="68" spans="1:50" hidden="1" x14ac:dyDescent="0.25">
      <c r="A68" s="33"/>
      <c r="B68" s="12"/>
      <c r="C68" s="457"/>
      <c r="D68" s="457"/>
      <c r="E68" s="457"/>
      <c r="F68" s="3"/>
      <c r="G68" s="164"/>
      <c r="H68" s="158">
        <f>IF(AND(DAY(Postup!$H$24)=1,MONTH(Postup!$H$24)=1),Provozování!F30,Provozování!H30)</f>
        <v>0</v>
      </c>
      <c r="I68" s="164">
        <f>IF(Provozování!$I$16="Neaktivní",0,Provozování!I30)</f>
        <v>0</v>
      </c>
      <c r="J68" s="158">
        <f>IF(Provozování!$I$16="Neaktivní",0,Provozování!J30)</f>
        <v>0</v>
      </c>
      <c r="K68" s="164">
        <f>IF(YEAR(Postup!$H$25)&gt;$K$61,Provozování!O30,IF(AND(DAY(Postup!$H$25)=31,MONTH(Postup!$H$25)=12,YEAR(Postup!$H$25)=$K$61),Provozování!O30,IF(YEAR(Postup!$H$25)=$K$61,Provozování!$BL30,0)))</f>
        <v>0</v>
      </c>
      <c r="L68" s="158">
        <f>IF(YEAR(Postup!$H$25)&gt;$K$61,Provozování!P30,IF(AND(DAY(Postup!$H$25)=31,MONTH(Postup!$H$25)=12,YEAR(Postup!$H$25)=$K$61),Provozování!P30,IF(YEAR(Postup!$H$25)=$K$61,Provozování!$BM30,0)))</f>
        <v>0</v>
      </c>
      <c r="M68" s="164">
        <f>IF(Provozování!$Q$16="Neaktivní",0,Provozování!Q30)</f>
        <v>0</v>
      </c>
      <c r="N68" s="158">
        <f>IF(Provozování!$Q$16="Neaktivní",0,Provozování!R30)</f>
        <v>0</v>
      </c>
      <c r="O68" s="164">
        <f>IF(YEAR(Postup!$H$25)&gt;$O$61,Provozování!T30,IF(AND(DAY(Postup!$H$25)=31,MONTH(Postup!$H$25)=12,YEAR(Postup!$H$25)=$O$61),Provozování!T30,IF(YEAR(Postup!$H$25)=$O$61,Provozování!$BL30,0)))</f>
        <v>0</v>
      </c>
      <c r="P68" s="158">
        <f>IF(YEAR(Postup!$H$25)&gt;$O$61,Provozování!U30,IF(AND(DAY(Postup!$H$25)=31,MONTH(Postup!$H$25)=12,YEAR(Postup!$H$25)=$O$61),Provozování!U30,IF(YEAR(Postup!$H$25)=$O$61,Provozování!$BM30,0)))</f>
        <v>0</v>
      </c>
      <c r="Q68" s="164">
        <f>IF(Provozování!$V$16="Neaktivní",0,Provozování!V30)</f>
        <v>0</v>
      </c>
      <c r="R68" s="158">
        <f>IF(Provozování!$V$16="Neaktivní",0,Provozování!W30)</f>
        <v>0</v>
      </c>
      <c r="S68" s="164">
        <f>IF(YEAR(Postup!$H$25)&gt;$S$61,Provozování!Y30,IF(AND(DAY(Postup!$H$25)=31,MONTH(Postup!$H$25)=12,YEAR(Postup!$H$25)=$S$61),Provozování!Y30,IF(YEAR(Postup!$H$25)=$S$61,Provozování!$BL30,0)))</f>
        <v>0</v>
      </c>
      <c r="T68" s="158">
        <f>IF(YEAR(Postup!$H$25)&gt;$S$61,Provozování!Z30,IF(AND(DAY(Postup!$H$25)=31,MONTH(Postup!$H$25)=12,YEAR(Postup!$H$25)=$S$61),Provozování!Z30,IF(YEAR(Postup!$H$25)=$S$61,Provozování!$BM30,0)))</f>
        <v>0</v>
      </c>
      <c r="U68" s="164">
        <f>IF(Provozování!$AA$16="Neaktivní",0,Provozování!AA30)</f>
        <v>0</v>
      </c>
      <c r="V68" s="158">
        <f>IF(Provozování!$AA$16="Neaktivní",0,Provozování!AB30)</f>
        <v>0</v>
      </c>
      <c r="W68" s="164">
        <f>IF(YEAR(Postup!$H$25)&gt;$W$61,Provozování!AD30,IF(AND(DAY(Postup!$H$25)=31,MONTH(Postup!$H$25)=12,YEAR(Postup!$H$25)=$W$61),Provozování!AD30,IF(YEAR(Postup!$H$25)=$W$61,Provozování!$BL30,0)))</f>
        <v>0</v>
      </c>
      <c r="X68" s="158">
        <f>IF(YEAR(Postup!$H$25)&gt;$W$61,Provozování!AE30,IF(AND(DAY(Postup!$H$25)=31,MONTH(Postup!$H$25)=12,YEAR(Postup!$H$25)=$W$61),Provozování!AE30,IF(YEAR(Postup!$H$25)=$W$61,Provozování!$BM30,0)))</f>
        <v>0</v>
      </c>
      <c r="Y68" s="164">
        <f>IF(Provozování!$AF$16="Neaktivní",0,Provozování!AF30)</f>
        <v>0</v>
      </c>
      <c r="Z68" s="158">
        <f>IF(Provozování!$AF$16="Neaktivní",0,Provozování!AG30)</f>
        <v>0</v>
      </c>
      <c r="AA68" s="164">
        <f>IF(YEAR(Postup!$H$25)&gt;$AA$61,Provozování!AI30,IF(AND(DAY(Postup!$H$25)=31,MONTH(Postup!$H$25)=12,YEAR(Postup!$H$25)=$AA$61),Provozování!AI30,IF(YEAR(Postup!$H$25)=$AA$61,Provozování!$BL30,0)))</f>
        <v>0</v>
      </c>
      <c r="AB68" s="158">
        <f>IF(YEAR(Postup!$H$25)&gt;$AA$61,Provozování!AJ30,IF(AND(DAY(Postup!$H$25)=31,MONTH(Postup!$H$25)=12,YEAR(Postup!$H$25)=$AA$61),Provozování!AJ30,IF(YEAR(Postup!$H$25)=$AA$61,Provozování!$BM30,0)))</f>
        <v>0</v>
      </c>
      <c r="AC68" s="164">
        <f>IF(Provozování!$AK$16="Neaktivní",0,Provozování!AK30)</f>
        <v>0</v>
      </c>
      <c r="AD68" s="158">
        <f>IF(Provozování!$AK$16="Neaktivní",0,Provozování!AL30)</f>
        <v>0</v>
      </c>
      <c r="AE68" s="164">
        <f>IF(YEAR(Postup!$H$25)&gt;$AE$61,Provozování!AN30,IF(AND(DAY(Postup!$H$25)=31,MONTH(Postup!$H$25)=12,YEAR(Postup!$H$25)=$AE$61),Provozování!AN30,IF(YEAR(Postup!$H$25)=$AE$61,Provozování!$BL30,0)))</f>
        <v>0</v>
      </c>
      <c r="AF68" s="158">
        <f>IF(YEAR(Postup!$H$25)&gt;$AE$61,Provozování!AO30,IF(AND(DAY(Postup!$H$25)=31,MONTH(Postup!$H$25)=12,YEAR(Postup!$H$25)=$AE$61),Provozování!AO30,IF(YEAR(Postup!$H$25)=$AE$61,Provozování!$BM30,0)))</f>
        <v>0</v>
      </c>
      <c r="AG68" s="164">
        <f>IF(Provozování!$AP$16="Neaktivní",0,Provozování!AP30)</f>
        <v>0</v>
      </c>
      <c r="AH68" s="158">
        <f>IF(Provozování!$AP$16="Neaktivní",0,Provozování!AQ30)</f>
        <v>0</v>
      </c>
      <c r="AI68" s="164">
        <f>IF(YEAR(Postup!$H$25)&gt;$AI$61,Provozování!AS30,IF(AND(DAY(Postup!$H$25)=31,MONTH(Postup!$H$25)=12,YEAR(Postup!$H$25)=$AI$61),Provozování!AS30,IF(YEAR(Postup!$H$25)=$AI$61,Provozování!$BL30,0)))</f>
        <v>0</v>
      </c>
      <c r="AJ68" s="158">
        <f>IF(YEAR(Postup!$H$25)&gt;$AI$61,Provozování!AT30,IF(AND(DAY(Postup!$H$25)=31,MONTH(Postup!$H$25)=12,YEAR(Postup!$H$25)=$AI$61),Provozování!AT30,IF(YEAR(Postup!$H$25)=$AI$61,Provozování!$BM30,0)))</f>
        <v>0</v>
      </c>
      <c r="AK68" s="164">
        <f>IF(Provozování!$AU$16="Neaktivní",0,Provozování!AU30)</f>
        <v>0</v>
      </c>
      <c r="AL68" s="158">
        <f>IF(Provozování!$AU$16="Neaktivní",0,Provozování!AV30)</f>
        <v>0</v>
      </c>
      <c r="AM68" s="164">
        <f>IF(YEAR(Postup!$H$25)&gt;$AM$61,Provozování!AX30,IF(AND(DAY(Postup!$H$25)=31,MONTH(Postup!$H$25)=12,YEAR(Postup!$H$25)=$AM$61),Provozování!AX30,IF(YEAR(Postup!$H$25)=$AM$61,Provozování!$BL30,0)))</f>
        <v>0</v>
      </c>
      <c r="AN68" s="158">
        <f>IF(YEAR(Postup!$H$25)&gt;$AM$61,Provozování!AY30,IF(AND(DAY(Postup!$H$25)=31,MONTH(Postup!$H$25)=12,YEAR(Postup!$H$25)=$AM$61),Provozování!AY30,IF(YEAR(Postup!$H$25)=$AM$61,Provozování!$BM30,0)))</f>
        <v>0</v>
      </c>
      <c r="AO68" s="164">
        <f>IF(Provozování!$AZ$16="Neaktivní",0,Provozování!AZ30)</f>
        <v>0</v>
      </c>
      <c r="AP68" s="158">
        <f>IF(Provozování!$AZ$16="Neaktivní",0,Provozování!BA30)</f>
        <v>0</v>
      </c>
      <c r="AQ68" s="164">
        <f>IF(YEAR(Postup!$H$25)&gt;$AQ$61,Provozování!BC30,IF(AND(DAY(Postup!$H$25)=31,MONTH(Postup!$H$25)=12,YEAR(Postup!$H$25)=$AQ$61),Provozování!BC30,IF(YEAR(Postup!$H$25)=$AQ$61,Provozování!$BL30,0)))</f>
        <v>0</v>
      </c>
      <c r="AR68" s="158">
        <f>IF(YEAR(Postup!$H$25)&gt;$AM$61,Provozování!BD30,IF(AND(DAY(Postup!$H$25)=31,MONTH(Postup!$H$25)=12,YEAR(Postup!$H$25)=$AM$61),Provozování!BD30,IF(YEAR(Postup!$H$25)=$AM$61,Provozování!$BM30,0)))</f>
        <v>0</v>
      </c>
      <c r="AS68" s="164">
        <f>IF(Provozování!$BE$16="Neaktivní",0,Provozování!BE30)</f>
        <v>0</v>
      </c>
      <c r="AT68" s="158">
        <f>IF(Provozování!$BE$16="Neaktivní",0,Provozování!BF30)</f>
        <v>0</v>
      </c>
      <c r="AU68" s="164">
        <f>IF(YEAR(Postup!$H$25)&gt;$AU$61,Provozování!BH30,IF(AND(DAY(Postup!$H$25)=31,MONTH(Postup!$H$25)=12,YEAR(Postup!$H$25)=$AU$61),Provozování!BH30,IF(YEAR(Postup!$H$25)=$AU$61,Provozování!$BL30,0)))</f>
        <v>0</v>
      </c>
      <c r="AV68" s="158">
        <f>IF(YEAR(Postup!$H$25)&gt;$AU$61,Provozování!BI30,IF(AND(DAY(Postup!$H$25)=31,MONTH(Postup!$H$25)=12,YEAR(Postup!$H$25)=$AU$61),Provozování!BI30,IF(YEAR(Postup!$H$25)=$AU$61,Provozování!$BM30,0)))</f>
        <v>0</v>
      </c>
      <c r="AW68" s="164">
        <f>IF(Provozování!$BJ$16="Neaktivní",0,Provozování!BJ30)</f>
        <v>0</v>
      </c>
      <c r="AX68" s="158">
        <f>IF(Provozování!$BJ$16="Neaktivní",0,Provozování!BK30)</f>
        <v>0</v>
      </c>
    </row>
    <row r="69" spans="1:50" x14ac:dyDescent="0.25">
      <c r="A69" s="33"/>
      <c r="B69" s="12" t="s">
        <v>27</v>
      </c>
      <c r="C69" s="919" t="s">
        <v>28</v>
      </c>
      <c r="D69" s="919"/>
      <c r="E69" s="919"/>
      <c r="F69" s="3" t="s">
        <v>10</v>
      </c>
      <c r="G69" s="164">
        <f>IF(AND(DAY(Postup!$H$24)=1,MONTH(Postup!$H$24)=1),Provozování!E31,Provozování!G31)</f>
        <v>0</v>
      </c>
      <c r="H69" s="158">
        <f>IF(AND(DAY(Postup!$H$24)=1,MONTH(Postup!$H$24)=1),Provozování!F31,Provozování!H31)</f>
        <v>0</v>
      </c>
      <c r="I69" s="164">
        <f>IF(Provozování!$I$16="Neaktivní",0,Provozování!I31)</f>
        <v>0</v>
      </c>
      <c r="J69" s="158">
        <f>IF(Provozování!$I$16="Neaktivní",0,Provozování!J31)</f>
        <v>0</v>
      </c>
      <c r="K69" s="164">
        <f>IF(YEAR(Postup!$H$25)&gt;$K$61,Provozování!O31,IF(AND(DAY(Postup!$H$25)=31,MONTH(Postup!$H$25)=12,YEAR(Postup!$H$25)=$K$61),Provozování!O31,IF(YEAR(Postup!$H$25)=$K$61,Provozování!$BL31,0)))</f>
        <v>0</v>
      </c>
      <c r="L69" s="158">
        <f>IF(YEAR(Postup!$H$25)&gt;$K$61,Provozování!P31,IF(AND(DAY(Postup!$H$25)=31,MONTH(Postup!$H$25)=12,YEAR(Postup!$H$25)=$K$61),Provozování!P31,IF(YEAR(Postup!$H$25)=$K$61,Provozování!$BM31,0)))</f>
        <v>0</v>
      </c>
      <c r="M69" s="164">
        <f>IF(Provozování!$Q$16="Neaktivní",0,Provozování!Q31)</f>
        <v>0</v>
      </c>
      <c r="N69" s="158">
        <f>IF(Provozování!$Q$16="Neaktivní",0,Provozování!R31)</f>
        <v>0</v>
      </c>
      <c r="O69" s="164">
        <f>IF(YEAR(Postup!$H$25)&gt;$O$61,Provozování!T31,IF(AND(DAY(Postup!$H$25)=31,MONTH(Postup!$H$25)=12,YEAR(Postup!$H$25)=$O$61),Provozování!T31,IF(YEAR(Postup!$H$25)=$O$61,Provozování!$BL31,0)))</f>
        <v>0</v>
      </c>
      <c r="P69" s="158">
        <f>IF(YEAR(Postup!$H$25)&gt;$O$61,Provozování!U31,IF(AND(DAY(Postup!$H$25)=31,MONTH(Postup!$H$25)=12,YEAR(Postup!$H$25)=$O$61),Provozování!U31,IF(YEAR(Postup!$H$25)=$O$61,Provozování!$BM31,0)))</f>
        <v>0</v>
      </c>
      <c r="Q69" s="164">
        <f>IF(Provozování!$V$16="Neaktivní",0,Provozování!V31)</f>
        <v>0</v>
      </c>
      <c r="R69" s="158">
        <f>IF(Provozování!$V$16="Neaktivní",0,Provozování!W31)</f>
        <v>0</v>
      </c>
      <c r="S69" s="164">
        <f>IF(YEAR(Postup!$H$25)&gt;$S$61,Provozování!Y31,IF(AND(DAY(Postup!$H$25)=31,MONTH(Postup!$H$25)=12,YEAR(Postup!$H$25)=$S$61),Provozování!Y31,IF(YEAR(Postup!$H$25)=$S$61,Provozování!$BL31,0)))</f>
        <v>0</v>
      </c>
      <c r="T69" s="158">
        <f>IF(YEAR(Postup!$H$25)&gt;$S$61,Provozování!Z31,IF(AND(DAY(Postup!$H$25)=31,MONTH(Postup!$H$25)=12,YEAR(Postup!$H$25)=$S$61),Provozování!Z31,IF(YEAR(Postup!$H$25)=$S$61,Provozování!$BM31,0)))</f>
        <v>0</v>
      </c>
      <c r="U69" s="164">
        <f>IF(Provozování!$AA$16="Neaktivní",0,Provozování!AA31)</f>
        <v>0</v>
      </c>
      <c r="V69" s="158">
        <f>IF(Provozování!$AA$16="Neaktivní",0,Provozování!AB31)</f>
        <v>0</v>
      </c>
      <c r="W69" s="164">
        <f>IF(YEAR(Postup!$H$25)&gt;$W$61,Provozování!AD31,IF(AND(DAY(Postup!$H$25)=31,MONTH(Postup!$H$25)=12,YEAR(Postup!$H$25)=$W$61),Provozování!AD31,IF(YEAR(Postup!$H$25)=$W$61,Provozování!$BL31,0)))</f>
        <v>0</v>
      </c>
      <c r="X69" s="158">
        <f>IF(YEAR(Postup!$H$25)&gt;$W$61,Provozování!AE31,IF(AND(DAY(Postup!$H$25)=31,MONTH(Postup!$H$25)=12,YEAR(Postup!$H$25)=$W$61),Provozování!AE31,IF(YEAR(Postup!$H$25)=$W$61,Provozování!$BM31,0)))</f>
        <v>0</v>
      </c>
      <c r="Y69" s="164">
        <f>IF(Provozování!$AF$16="Neaktivní",0,Provozování!AF31)</f>
        <v>0</v>
      </c>
      <c r="Z69" s="158">
        <f>IF(Provozování!$AF$16="Neaktivní",0,Provozování!AG31)</f>
        <v>0</v>
      </c>
      <c r="AA69" s="164">
        <f>IF(YEAR(Postup!$H$25)&gt;$AA$61,Provozování!AI31,IF(AND(DAY(Postup!$H$25)=31,MONTH(Postup!$H$25)=12,YEAR(Postup!$H$25)=$AA$61),Provozování!AI31,IF(YEAR(Postup!$H$25)=$AA$61,Provozování!$BL31,0)))</f>
        <v>0</v>
      </c>
      <c r="AB69" s="158">
        <f>IF(YEAR(Postup!$H$25)&gt;$AA$61,Provozování!AJ31,IF(AND(DAY(Postup!$H$25)=31,MONTH(Postup!$H$25)=12,YEAR(Postup!$H$25)=$AA$61),Provozování!AJ31,IF(YEAR(Postup!$H$25)=$AA$61,Provozování!$BM31,0)))</f>
        <v>0</v>
      </c>
      <c r="AC69" s="164">
        <f>IF(Provozování!$AK$16="Neaktivní",0,Provozování!AK31)</f>
        <v>0</v>
      </c>
      <c r="AD69" s="158">
        <f>IF(Provozování!$AK$16="Neaktivní",0,Provozování!AL31)</f>
        <v>0</v>
      </c>
      <c r="AE69" s="164">
        <f>IF(YEAR(Postup!$H$25)&gt;$AE$61,Provozování!AN31,IF(AND(DAY(Postup!$H$25)=31,MONTH(Postup!$H$25)=12,YEAR(Postup!$H$25)=$AE$61),Provozování!AN31,IF(YEAR(Postup!$H$25)=$AE$61,Provozování!$BL31,0)))</f>
        <v>0</v>
      </c>
      <c r="AF69" s="158">
        <f>IF(YEAR(Postup!$H$25)&gt;$AE$61,Provozování!AO31,IF(AND(DAY(Postup!$H$25)=31,MONTH(Postup!$H$25)=12,YEAR(Postup!$H$25)=$AE$61),Provozování!AO31,IF(YEAR(Postup!$H$25)=$AE$61,Provozování!$BM31,0)))</f>
        <v>0</v>
      </c>
      <c r="AG69" s="164">
        <f>IF(Provozování!$AP$16="Neaktivní",0,Provozování!AP31)</f>
        <v>0</v>
      </c>
      <c r="AH69" s="158">
        <f>IF(Provozování!$AP$16="Neaktivní",0,Provozování!AQ31)</f>
        <v>0</v>
      </c>
      <c r="AI69" s="164">
        <f>IF(YEAR(Postup!$H$25)&gt;$AI$61,Provozování!AS31,IF(AND(DAY(Postup!$H$25)=31,MONTH(Postup!$H$25)=12,YEAR(Postup!$H$25)=$AI$61),Provozování!AS31,IF(YEAR(Postup!$H$25)=$AI$61,Provozování!$BL31,0)))</f>
        <v>0</v>
      </c>
      <c r="AJ69" s="158">
        <f>IF(YEAR(Postup!$H$25)&gt;$AI$61,Provozování!AT31,IF(AND(DAY(Postup!$H$25)=31,MONTH(Postup!$H$25)=12,YEAR(Postup!$H$25)=$AI$61),Provozování!AT31,IF(YEAR(Postup!$H$25)=$AI$61,Provozování!$BM31,0)))</f>
        <v>0</v>
      </c>
      <c r="AK69" s="164">
        <f>IF(Provozování!$AU$16="Neaktivní",0,Provozování!AU31)</f>
        <v>0</v>
      </c>
      <c r="AL69" s="158">
        <f>IF(Provozování!$AU$16="Neaktivní",0,Provozování!AV31)</f>
        <v>0</v>
      </c>
      <c r="AM69" s="164">
        <f>IF(YEAR(Postup!$H$25)&gt;$AM$61,Provozování!AX31,IF(AND(DAY(Postup!$H$25)=31,MONTH(Postup!$H$25)=12,YEAR(Postup!$H$25)=$AM$61),Provozování!AX31,IF(YEAR(Postup!$H$25)=$AM$61,Provozování!$BL31,0)))</f>
        <v>0</v>
      </c>
      <c r="AN69" s="158">
        <f>IF(YEAR(Postup!$H$25)&gt;$AM$61,Provozování!AY31,IF(AND(DAY(Postup!$H$25)=31,MONTH(Postup!$H$25)=12,YEAR(Postup!$H$25)=$AM$61),Provozování!AY31,IF(YEAR(Postup!$H$25)=$AM$61,Provozování!$BM31,0)))</f>
        <v>0</v>
      </c>
      <c r="AO69" s="164">
        <f>IF(Provozování!$AZ$16="Neaktivní",0,Provozování!AZ31)</f>
        <v>0</v>
      </c>
      <c r="AP69" s="158">
        <f>IF(Provozování!$AZ$16="Neaktivní",0,Provozování!BA31)</f>
        <v>0</v>
      </c>
      <c r="AQ69" s="164">
        <f>IF(YEAR(Postup!$H$25)&gt;$AQ$61,Provozování!BC31,IF(AND(DAY(Postup!$H$25)=31,MONTH(Postup!$H$25)=12,YEAR(Postup!$H$25)=$AQ$61),Provozování!BC31,IF(YEAR(Postup!$H$25)=$AQ$61,Provozování!$BL31,0)))</f>
        <v>0</v>
      </c>
      <c r="AR69" s="158">
        <f>IF(YEAR(Postup!$H$25)&gt;$AM$61,Provozování!BD31,IF(AND(DAY(Postup!$H$25)=31,MONTH(Postup!$H$25)=12,YEAR(Postup!$H$25)=$AM$61),Provozování!BD31,IF(YEAR(Postup!$H$25)=$AM$61,Provozování!$BM31,0)))</f>
        <v>0</v>
      </c>
      <c r="AS69" s="164">
        <f>IF(Provozování!$BE$16="Neaktivní",0,Provozování!BE31)</f>
        <v>0</v>
      </c>
      <c r="AT69" s="158">
        <f>IF(Provozování!$BE$16="Neaktivní",0,Provozování!BF31)</f>
        <v>0</v>
      </c>
      <c r="AU69" s="164">
        <f>IF(YEAR(Postup!$H$25)&gt;$AU$61,Provozování!BH31,IF(AND(DAY(Postup!$H$25)=31,MONTH(Postup!$H$25)=12,YEAR(Postup!$H$25)=$AU$61),Provozování!BH31,IF(YEAR(Postup!$H$25)=$AU$61,Provozování!$BL31,0)))</f>
        <v>0</v>
      </c>
      <c r="AV69" s="158">
        <f>IF(YEAR(Postup!$H$25)&gt;$AU$61,Provozování!BI31,IF(AND(DAY(Postup!$H$25)=31,MONTH(Postup!$H$25)=12,YEAR(Postup!$H$25)=$AU$61),Provozování!BI31,IF(YEAR(Postup!$H$25)=$AU$61,Provozování!$BM31,0)))</f>
        <v>0</v>
      </c>
      <c r="AW69" s="164">
        <f>IF(Provozování!$BJ$16="Neaktivní",0,Provozování!BJ31)</f>
        <v>0</v>
      </c>
      <c r="AX69" s="158">
        <f>IF(Provozování!$BJ$16="Neaktivní",0,Provozování!BK31)</f>
        <v>0</v>
      </c>
    </row>
    <row r="70" spans="1:50" x14ac:dyDescent="0.25">
      <c r="A70" s="33"/>
      <c r="B70" s="12" t="s">
        <v>29</v>
      </c>
      <c r="C70" s="919" t="s">
        <v>30</v>
      </c>
      <c r="D70" s="919"/>
      <c r="E70" s="919"/>
      <c r="F70" s="3" t="s">
        <v>10</v>
      </c>
      <c r="G70" s="164">
        <f>IF(AND(DAY(Postup!$H$24)=1,MONTH(Postup!$H$24)=1),Provozování!E32,Provozování!G32)</f>
        <v>0</v>
      </c>
      <c r="H70" s="158">
        <f>IF(AND(DAY(Postup!$H$24)=1,MONTH(Postup!$H$24)=1),Provozování!F32,Provozování!H32)</f>
        <v>0</v>
      </c>
      <c r="I70" s="164">
        <f>IF(Provozování!$I$16="Neaktivní",0,Provozování!I32)</f>
        <v>0</v>
      </c>
      <c r="J70" s="158">
        <f>IF(Provozování!$I$16="Neaktivní",0,Provozování!J32)</f>
        <v>0</v>
      </c>
      <c r="K70" s="164">
        <f>IF(YEAR(Postup!$H$25)&gt;$K$61,Provozování!O32,IF(AND(DAY(Postup!$H$25)=31,MONTH(Postup!$H$25)=12,YEAR(Postup!$H$25)=$K$61),Provozování!O32,IF(YEAR(Postup!$H$25)=$K$61,Provozování!$BL32,0)))</f>
        <v>0</v>
      </c>
      <c r="L70" s="158">
        <f>IF(YEAR(Postup!$H$25)&gt;$K$61,Provozování!P32,IF(AND(DAY(Postup!$H$25)=31,MONTH(Postup!$H$25)=12,YEAR(Postup!$H$25)=$K$61),Provozování!P32,IF(YEAR(Postup!$H$25)=$K$61,Provozování!$BM32,0)))</f>
        <v>0</v>
      </c>
      <c r="M70" s="164">
        <f>IF(Provozování!$Q$16="Neaktivní",0,Provozování!Q32)</f>
        <v>0</v>
      </c>
      <c r="N70" s="158">
        <f>IF(Provozování!$Q$16="Neaktivní",0,Provozování!R32)</f>
        <v>0</v>
      </c>
      <c r="O70" s="164">
        <f>IF(YEAR(Postup!$H$25)&gt;$O$61,Provozování!T32,IF(AND(DAY(Postup!$H$25)=31,MONTH(Postup!$H$25)=12,YEAR(Postup!$H$25)=$O$61),Provozování!T32,IF(YEAR(Postup!$H$25)=$O$61,Provozování!$BL32,0)))</f>
        <v>0</v>
      </c>
      <c r="P70" s="158">
        <f>IF(YEAR(Postup!$H$25)&gt;$O$61,Provozování!U32,IF(AND(DAY(Postup!$H$25)=31,MONTH(Postup!$H$25)=12,YEAR(Postup!$H$25)=$O$61),Provozování!U32,IF(YEAR(Postup!$H$25)=$O$61,Provozování!$BM32,0)))</f>
        <v>0</v>
      </c>
      <c r="Q70" s="164">
        <f>IF(Provozování!$V$16="Neaktivní",0,Provozování!V32)</f>
        <v>0</v>
      </c>
      <c r="R70" s="158">
        <f>IF(Provozování!$V$16="Neaktivní",0,Provozování!W32)</f>
        <v>0</v>
      </c>
      <c r="S70" s="164">
        <f>IF(YEAR(Postup!$H$25)&gt;$S$61,Provozování!Y32,IF(AND(DAY(Postup!$H$25)=31,MONTH(Postup!$H$25)=12,YEAR(Postup!$H$25)=$S$61),Provozování!Y32,IF(YEAR(Postup!$H$25)=$S$61,Provozování!$BL32,0)))</f>
        <v>0</v>
      </c>
      <c r="T70" s="158">
        <f>IF(YEAR(Postup!$H$25)&gt;$S$61,Provozování!Z32,IF(AND(DAY(Postup!$H$25)=31,MONTH(Postup!$H$25)=12,YEAR(Postup!$H$25)=$S$61),Provozování!Z32,IF(YEAR(Postup!$H$25)=$S$61,Provozování!$BM32,0)))</f>
        <v>0</v>
      </c>
      <c r="U70" s="164">
        <f>IF(Provozování!$AA$16="Neaktivní",0,Provozování!AA32)</f>
        <v>0</v>
      </c>
      <c r="V70" s="158">
        <f>IF(Provozování!$AA$16="Neaktivní",0,Provozování!AB32)</f>
        <v>0</v>
      </c>
      <c r="W70" s="164">
        <f>IF(YEAR(Postup!$H$25)&gt;$W$61,Provozování!AD32,IF(AND(DAY(Postup!$H$25)=31,MONTH(Postup!$H$25)=12,YEAR(Postup!$H$25)=$W$61),Provozování!AD32,IF(YEAR(Postup!$H$25)=$W$61,Provozování!$BL32,0)))</f>
        <v>0</v>
      </c>
      <c r="X70" s="158">
        <f>IF(YEAR(Postup!$H$25)&gt;$W$61,Provozování!AE32,IF(AND(DAY(Postup!$H$25)=31,MONTH(Postup!$H$25)=12,YEAR(Postup!$H$25)=$W$61),Provozování!AE32,IF(YEAR(Postup!$H$25)=$W$61,Provozování!$BM32,0)))</f>
        <v>0</v>
      </c>
      <c r="Y70" s="164">
        <f>IF(Provozování!$AF$16="Neaktivní",0,Provozování!AF32)</f>
        <v>0</v>
      </c>
      <c r="Z70" s="158">
        <f>IF(Provozování!$AF$16="Neaktivní",0,Provozování!AG32)</f>
        <v>0</v>
      </c>
      <c r="AA70" s="164">
        <f>IF(YEAR(Postup!$H$25)&gt;$AA$61,Provozování!AI32,IF(AND(DAY(Postup!$H$25)=31,MONTH(Postup!$H$25)=12,YEAR(Postup!$H$25)=$AA$61),Provozování!AI32,IF(YEAR(Postup!$H$25)=$AA$61,Provozování!$BL32,0)))</f>
        <v>0</v>
      </c>
      <c r="AB70" s="158">
        <f>IF(YEAR(Postup!$H$25)&gt;$AA$61,Provozování!AJ32,IF(AND(DAY(Postup!$H$25)=31,MONTH(Postup!$H$25)=12,YEAR(Postup!$H$25)=$AA$61),Provozování!AJ32,IF(YEAR(Postup!$H$25)=$AA$61,Provozování!$BM32,0)))</f>
        <v>0</v>
      </c>
      <c r="AC70" s="164">
        <f>IF(Provozování!$AK$16="Neaktivní",0,Provozování!AK32)</f>
        <v>0</v>
      </c>
      <c r="AD70" s="158">
        <f>IF(Provozování!$AK$16="Neaktivní",0,Provozování!AL32)</f>
        <v>0</v>
      </c>
      <c r="AE70" s="164">
        <f>IF(YEAR(Postup!$H$25)&gt;$AE$61,Provozování!AN32,IF(AND(DAY(Postup!$H$25)=31,MONTH(Postup!$H$25)=12,YEAR(Postup!$H$25)=$AE$61),Provozování!AN32,IF(YEAR(Postup!$H$25)=$AE$61,Provozování!$BL32,0)))</f>
        <v>0</v>
      </c>
      <c r="AF70" s="158">
        <f>IF(YEAR(Postup!$H$25)&gt;$AE$61,Provozování!AO32,IF(AND(DAY(Postup!$H$25)=31,MONTH(Postup!$H$25)=12,YEAR(Postup!$H$25)=$AE$61),Provozování!AO32,IF(YEAR(Postup!$H$25)=$AE$61,Provozování!$BM32,0)))</f>
        <v>0</v>
      </c>
      <c r="AG70" s="164">
        <f>IF(Provozování!$AP$16="Neaktivní",0,Provozování!AP32)</f>
        <v>0</v>
      </c>
      <c r="AH70" s="158">
        <f>IF(Provozování!$AP$16="Neaktivní",0,Provozování!AQ32)</f>
        <v>0</v>
      </c>
      <c r="AI70" s="164">
        <f>IF(YEAR(Postup!$H$25)&gt;$AI$61,Provozování!AS32,IF(AND(DAY(Postup!$H$25)=31,MONTH(Postup!$H$25)=12,YEAR(Postup!$H$25)=$AI$61),Provozování!AS32,IF(YEAR(Postup!$H$25)=$AI$61,Provozování!$BL32,0)))</f>
        <v>0</v>
      </c>
      <c r="AJ70" s="158">
        <f>IF(YEAR(Postup!$H$25)&gt;$AI$61,Provozování!AT32,IF(AND(DAY(Postup!$H$25)=31,MONTH(Postup!$H$25)=12,YEAR(Postup!$H$25)=$AI$61),Provozování!AT32,IF(YEAR(Postup!$H$25)=$AI$61,Provozování!$BM32,0)))</f>
        <v>0</v>
      </c>
      <c r="AK70" s="164">
        <f>IF(Provozování!$AU$16="Neaktivní",0,Provozování!AU32)</f>
        <v>0</v>
      </c>
      <c r="AL70" s="158">
        <f>IF(Provozování!$AU$16="Neaktivní",0,Provozování!AV32)</f>
        <v>0</v>
      </c>
      <c r="AM70" s="164">
        <f>IF(YEAR(Postup!$H$25)&gt;$AM$61,Provozování!AX32,IF(AND(DAY(Postup!$H$25)=31,MONTH(Postup!$H$25)=12,YEAR(Postup!$H$25)=$AM$61),Provozování!AX32,IF(YEAR(Postup!$H$25)=$AM$61,Provozování!$BL32,0)))</f>
        <v>0</v>
      </c>
      <c r="AN70" s="158">
        <f>IF(YEAR(Postup!$H$25)&gt;$AM$61,Provozování!AY32,IF(AND(DAY(Postup!$H$25)=31,MONTH(Postup!$H$25)=12,YEAR(Postup!$H$25)=$AM$61),Provozování!AY32,IF(YEAR(Postup!$H$25)=$AM$61,Provozování!$BM32,0)))</f>
        <v>0</v>
      </c>
      <c r="AO70" s="164">
        <f>IF(Provozování!$AZ$16="Neaktivní",0,Provozování!AZ32)</f>
        <v>0</v>
      </c>
      <c r="AP70" s="158">
        <f>IF(Provozování!$AZ$16="Neaktivní",0,Provozování!BA32)</f>
        <v>0</v>
      </c>
      <c r="AQ70" s="164">
        <f>IF(YEAR(Postup!$H$25)&gt;$AQ$61,Provozování!BC32,IF(AND(DAY(Postup!$H$25)=31,MONTH(Postup!$H$25)=12,YEAR(Postup!$H$25)=$AQ$61),Provozování!BC32,IF(YEAR(Postup!$H$25)=$AQ$61,Provozování!$BL32,0)))</f>
        <v>0</v>
      </c>
      <c r="AR70" s="158">
        <f>IF(YEAR(Postup!$H$25)&gt;$AM$61,Provozování!BD32,IF(AND(DAY(Postup!$H$25)=31,MONTH(Postup!$H$25)=12,YEAR(Postup!$H$25)=$AM$61),Provozování!BD32,IF(YEAR(Postup!$H$25)=$AM$61,Provozování!$BM32,0)))</f>
        <v>0</v>
      </c>
      <c r="AS70" s="164">
        <f>IF(Provozování!$BE$16="Neaktivní",0,Provozování!BE32)</f>
        <v>0</v>
      </c>
      <c r="AT70" s="158">
        <f>IF(Provozování!$BE$16="Neaktivní",0,Provozování!BF32)</f>
        <v>0</v>
      </c>
      <c r="AU70" s="164">
        <f>IF(YEAR(Postup!$H$25)&gt;$AU$61,Provozování!BH32,IF(AND(DAY(Postup!$H$25)=31,MONTH(Postup!$H$25)=12,YEAR(Postup!$H$25)=$AU$61),Provozování!BH32,IF(YEAR(Postup!$H$25)=$AU$61,Provozování!$BL32,0)))</f>
        <v>0</v>
      </c>
      <c r="AV70" s="158">
        <f>IF(YEAR(Postup!$H$25)&gt;$AU$61,Provozování!BI32,IF(AND(DAY(Postup!$H$25)=31,MONTH(Postup!$H$25)=12,YEAR(Postup!$H$25)=$AU$61),Provozování!BI32,IF(YEAR(Postup!$H$25)=$AU$61,Provozování!$BM32,0)))</f>
        <v>0</v>
      </c>
      <c r="AW70" s="164">
        <f>IF(Provozování!$BJ$16="Neaktivní",0,Provozování!BJ32)</f>
        <v>0</v>
      </c>
      <c r="AX70" s="158">
        <f>IF(Provozování!$BJ$16="Neaktivní",0,Provozování!BK32)</f>
        <v>0</v>
      </c>
    </row>
    <row r="71" spans="1:50" hidden="1" x14ac:dyDescent="0.25">
      <c r="A71" s="33"/>
      <c r="C71" s="10"/>
      <c r="D71" s="457"/>
      <c r="E71" s="457"/>
      <c r="F71" s="3"/>
      <c r="G71" s="164">
        <f>IF(AND(DAY(Postup!$H$24)=1,MONTH(Postup!$H$24)=1),Provozování!E33,Provozování!G33)</f>
        <v>0</v>
      </c>
      <c r="H71" s="158">
        <f>IF(AND(DAY(Postup!$H$24)=1,MONTH(Postup!$H$24)=1),Provozování!F33,Provozování!H33)</f>
        <v>0.14000000000000001</v>
      </c>
      <c r="I71" s="164">
        <f>IF(Provozování!$I$16="Neaktivní",0,Provozování!I33)</f>
        <v>0</v>
      </c>
      <c r="J71" s="158">
        <f>IF(Provozování!$I$16="Neaktivní",0,Provozování!J33)</f>
        <v>0</v>
      </c>
      <c r="K71" s="164">
        <f>IF(YEAR(Postup!$H$25)&gt;$K$61,Provozování!O33,IF(AND(DAY(Postup!$H$25)=31,MONTH(Postup!$H$25)=12,YEAR(Postup!$H$25)=$K$61),Provozování!O33,IF(YEAR(Postup!$H$25)=$K$61,Provozování!$BL33,0)))</f>
        <v>0</v>
      </c>
      <c r="L71" s="158">
        <f>IF(YEAR(Postup!$H$25)&gt;$K$61,Provozování!P33,IF(AND(DAY(Postup!$H$25)=31,MONTH(Postup!$H$25)=12,YEAR(Postup!$H$25)=$K$61),Provozování!P33,IF(YEAR(Postup!$H$25)=$K$61,Provozování!$BM33,0)))</f>
        <v>0.14000000000000001</v>
      </c>
      <c r="M71" s="164">
        <f>IF(Provozování!$Q$16="Neaktivní",0,Provozování!Q33)</f>
        <v>0</v>
      </c>
      <c r="N71" s="158">
        <f>IF(Provozování!$Q$16="Neaktivní",0,Provozování!R33)</f>
        <v>0</v>
      </c>
      <c r="O71" s="164">
        <f>IF(YEAR(Postup!$H$25)&gt;$O$61,Provozování!T33,IF(AND(DAY(Postup!$H$25)=31,MONTH(Postup!$H$25)=12,YEAR(Postup!$H$25)=$O$61),Provozování!T33,IF(YEAR(Postup!$H$25)=$O$61,Provozování!$BL33,0)))</f>
        <v>0</v>
      </c>
      <c r="P71" s="158">
        <f>IF(YEAR(Postup!$H$25)&gt;$O$61,Provozování!U33,IF(AND(DAY(Postup!$H$25)=31,MONTH(Postup!$H$25)=12,YEAR(Postup!$H$25)=$O$61),Provozování!U33,IF(YEAR(Postup!$H$25)=$O$61,Provozování!$BM33,0)))</f>
        <v>0.14000000000000001</v>
      </c>
      <c r="Q71" s="164">
        <f>IF(Provozování!$V$16="Neaktivní",0,Provozování!V33)</f>
        <v>0</v>
      </c>
      <c r="R71" s="158">
        <f>IF(Provozování!$V$16="Neaktivní",0,Provozování!W33)</f>
        <v>0</v>
      </c>
      <c r="S71" s="164">
        <f>IF(YEAR(Postup!$H$25)&gt;$S$61,Provozování!Y33,IF(AND(DAY(Postup!$H$25)=31,MONTH(Postup!$H$25)=12,YEAR(Postup!$H$25)=$S$61),Provozování!Y33,IF(YEAR(Postup!$H$25)=$S$61,Provozování!$BL33,0)))</f>
        <v>0</v>
      </c>
      <c r="T71" s="158">
        <f>IF(YEAR(Postup!$H$25)&gt;$S$61,Provozování!Z33,IF(AND(DAY(Postup!$H$25)=31,MONTH(Postup!$H$25)=12,YEAR(Postup!$H$25)=$S$61),Provozování!Z33,IF(YEAR(Postup!$H$25)=$S$61,Provozování!$BM33,0)))</f>
        <v>0.15</v>
      </c>
      <c r="U71" s="164">
        <f>IF(Provozování!$AA$16="Neaktivní",0,Provozování!AA33)</f>
        <v>0</v>
      </c>
      <c r="V71" s="158">
        <f>IF(Provozování!$AA$16="Neaktivní",0,Provozování!AB33)</f>
        <v>0</v>
      </c>
      <c r="W71" s="164">
        <f>IF(YEAR(Postup!$H$25)&gt;$W$61,Provozování!AD33,IF(AND(DAY(Postup!$H$25)=31,MONTH(Postup!$H$25)=12,YEAR(Postup!$H$25)=$W$61),Provozování!AD33,IF(YEAR(Postup!$H$25)=$W$61,Provozování!$BL33,0)))</f>
        <v>0</v>
      </c>
      <c r="X71" s="158">
        <f>IF(YEAR(Postup!$H$25)&gt;$W$61,Provozování!AE33,IF(AND(DAY(Postup!$H$25)=31,MONTH(Postup!$H$25)=12,YEAR(Postup!$H$25)=$W$61),Provozování!AE33,IF(YEAR(Postup!$H$25)=$W$61,Provozování!$BM33,0)))</f>
        <v>0.15</v>
      </c>
      <c r="Y71" s="164">
        <f>IF(Provozování!$AF$16="Neaktivní",0,Provozování!AF33)</f>
        <v>0</v>
      </c>
      <c r="Z71" s="158">
        <f>IF(Provozování!$AF$16="Neaktivní",0,Provozování!AG33)</f>
        <v>0</v>
      </c>
      <c r="AA71" s="164">
        <f>IF(YEAR(Postup!$H$25)&gt;$AA$61,Provozování!AI33,IF(AND(DAY(Postup!$H$25)=31,MONTH(Postup!$H$25)=12,YEAR(Postup!$H$25)=$AA$61),Provozování!AI33,IF(YEAR(Postup!$H$25)=$AA$61,Provozování!$BL33,0)))</f>
        <v>0</v>
      </c>
      <c r="AB71" s="158">
        <f>IF(YEAR(Postup!$H$25)&gt;$AA$61,Provozování!AJ33,IF(AND(DAY(Postup!$H$25)=31,MONTH(Postup!$H$25)=12,YEAR(Postup!$H$25)=$AA$61),Provozování!AJ33,IF(YEAR(Postup!$H$25)=$AA$61,Provozování!$BM33,0)))</f>
        <v>0</v>
      </c>
      <c r="AC71" s="164">
        <f>IF(Provozování!$AK$16="Neaktivní",0,Provozování!AK33)</f>
        <v>0</v>
      </c>
      <c r="AD71" s="158">
        <f>IF(Provozování!$AK$16="Neaktivní",0,Provozování!AL33)</f>
        <v>0</v>
      </c>
      <c r="AE71" s="164">
        <f>IF(YEAR(Postup!$H$25)&gt;$AE$61,Provozování!AN33,IF(AND(DAY(Postup!$H$25)=31,MONTH(Postup!$H$25)=12,YEAR(Postup!$H$25)=$AE$61),Provozování!AN33,IF(YEAR(Postup!$H$25)=$AE$61,Provozování!$BL33,0)))</f>
        <v>0</v>
      </c>
      <c r="AF71" s="158">
        <f>IF(YEAR(Postup!$H$25)&gt;$AE$61,Provozování!AO33,IF(AND(DAY(Postup!$H$25)=31,MONTH(Postup!$H$25)=12,YEAR(Postup!$H$25)=$AE$61),Provozování!AO33,IF(YEAR(Postup!$H$25)=$AE$61,Provozování!$BM33,0)))</f>
        <v>0</v>
      </c>
      <c r="AG71" s="164">
        <f>IF(Provozování!$AP$16="Neaktivní",0,Provozování!AP33)</f>
        <v>0</v>
      </c>
      <c r="AH71" s="158">
        <f>IF(Provozování!$AP$16="Neaktivní",0,Provozování!AQ33)</f>
        <v>0</v>
      </c>
      <c r="AI71" s="164">
        <f>IF(YEAR(Postup!$H$25)&gt;$AI$61,Provozování!AS33,IF(AND(DAY(Postup!$H$25)=31,MONTH(Postup!$H$25)=12,YEAR(Postup!$H$25)=$AI$61),Provozování!AS33,IF(YEAR(Postup!$H$25)=$AI$61,Provozování!$BL33,0)))</f>
        <v>0</v>
      </c>
      <c r="AJ71" s="158">
        <f>IF(YEAR(Postup!$H$25)&gt;$AI$61,Provozování!AT33,IF(AND(DAY(Postup!$H$25)=31,MONTH(Postup!$H$25)=12,YEAR(Postup!$H$25)=$AI$61),Provozování!AT33,IF(YEAR(Postup!$H$25)=$AI$61,Provozování!$BM33,0)))</f>
        <v>0</v>
      </c>
      <c r="AK71" s="164">
        <f>IF(Provozování!$AU$16="Neaktivní",0,Provozování!AU33)</f>
        <v>0</v>
      </c>
      <c r="AL71" s="158">
        <f>IF(Provozování!$AU$16="Neaktivní",0,Provozování!AV33)</f>
        <v>0</v>
      </c>
      <c r="AM71" s="164">
        <f>IF(YEAR(Postup!$H$25)&gt;$AM$61,Provozování!AX33,IF(AND(DAY(Postup!$H$25)=31,MONTH(Postup!$H$25)=12,YEAR(Postup!$H$25)=$AM$61),Provozování!AX33,IF(YEAR(Postup!$H$25)=$AM$61,Provozování!$BL33,0)))</f>
        <v>0</v>
      </c>
      <c r="AN71" s="158">
        <f>IF(YEAR(Postup!$H$25)&gt;$AM$61,Provozování!AY33,IF(AND(DAY(Postup!$H$25)=31,MONTH(Postup!$H$25)=12,YEAR(Postup!$H$25)=$AM$61),Provozování!AY33,IF(YEAR(Postup!$H$25)=$AM$61,Provozování!$BM33,0)))</f>
        <v>0</v>
      </c>
      <c r="AO71" s="164">
        <f>IF(Provozování!$AZ$16="Neaktivní",0,Provozování!AZ33)</f>
        <v>0</v>
      </c>
      <c r="AP71" s="158">
        <f>IF(Provozování!$AZ$16="Neaktivní",0,Provozování!BA33)</f>
        <v>0</v>
      </c>
      <c r="AQ71" s="164">
        <f>IF(YEAR(Postup!$H$25)&gt;$AQ$61,Provozování!BC33,IF(AND(DAY(Postup!$H$25)=31,MONTH(Postup!$H$25)=12,YEAR(Postup!$H$25)=$AQ$61),Provozování!BC33,IF(YEAR(Postup!$H$25)=$AQ$61,Provozování!$BL33,0)))</f>
        <v>0</v>
      </c>
      <c r="AR71" s="158">
        <f>IF(YEAR(Postup!$H$25)&gt;$AM$61,Provozování!BD33,IF(AND(DAY(Postup!$H$25)=31,MONTH(Postup!$H$25)=12,YEAR(Postup!$H$25)=$AM$61),Provozování!BD33,IF(YEAR(Postup!$H$25)=$AM$61,Provozování!$BM33,0)))</f>
        <v>0</v>
      </c>
      <c r="AS71" s="164">
        <f>IF(Provozování!$BE$16="Neaktivní",0,Provozování!BE33)</f>
        <v>0</v>
      </c>
      <c r="AT71" s="158">
        <f>IF(Provozování!$BE$16="Neaktivní",0,Provozování!BF33)</f>
        <v>0</v>
      </c>
      <c r="AU71" s="164">
        <f>IF(YEAR(Postup!$H$25)&gt;$AU$61,Provozování!BH33,IF(AND(DAY(Postup!$H$25)=31,MONTH(Postup!$H$25)=12,YEAR(Postup!$H$25)=$AU$61),Provozování!BH33,IF(YEAR(Postup!$H$25)=$AU$61,Provozování!$BL33,0)))</f>
        <v>0</v>
      </c>
      <c r="AV71" s="158">
        <f>IF(YEAR(Postup!$H$25)&gt;$AU$61,Provozování!BI33,IF(AND(DAY(Postup!$H$25)=31,MONTH(Postup!$H$25)=12,YEAR(Postup!$H$25)=$AU$61),Provozování!BI33,IF(YEAR(Postup!$H$25)=$AU$61,Provozování!$BM33,0)))</f>
        <v>0</v>
      </c>
      <c r="AW71" s="164">
        <f>IF(Provozování!$BJ$16="Neaktivní",0,Provozování!BJ33)</f>
        <v>0</v>
      </c>
      <c r="AX71" s="158">
        <f>IF(Provozování!$BJ$16="Neaktivní",0,Provozování!BK33)</f>
        <v>0</v>
      </c>
    </row>
    <row r="72" spans="1:50" hidden="1" x14ac:dyDescent="0.25">
      <c r="A72" s="33"/>
      <c r="B72" s="12" t="s">
        <v>33</v>
      </c>
      <c r="C72" s="919" t="s">
        <v>34</v>
      </c>
      <c r="D72" s="919"/>
      <c r="E72" s="919"/>
      <c r="F72" s="3" t="s">
        <v>10</v>
      </c>
      <c r="G72" s="164">
        <f>IF(AND(DAY(Postup!$H$24)=1,MONTH(Postup!$H$24)=1),Provozování!E34,Provozování!G34)</f>
        <v>0</v>
      </c>
      <c r="H72" s="158">
        <f>IF(AND(DAY(Postup!$H$24)=1,MONTH(Postup!$H$24)=1),Provozování!F34,Provozování!H34)</f>
        <v>0</v>
      </c>
      <c r="I72" s="164">
        <f>IF(Provozování!$I$16="Neaktivní",0,Provozování!I34)</f>
        <v>0</v>
      </c>
      <c r="J72" s="158">
        <f>IF(Provozování!$I$16="Neaktivní",0,Provozování!J34)</f>
        <v>0</v>
      </c>
      <c r="K72" s="164">
        <f>IF(YEAR(Postup!$H$25)&gt;$K$61,Provozování!O34,IF(AND(DAY(Postup!$H$25)=31,MONTH(Postup!$H$25)=12,YEAR(Postup!$H$25)=$K$61),Provozování!O34,IF(YEAR(Postup!$H$25)=$K$61,Provozování!$BL34,0)))</f>
        <v>0</v>
      </c>
      <c r="L72" s="158">
        <f>IF(YEAR(Postup!$H$25)&gt;$K$61,Provozování!P34,IF(AND(DAY(Postup!$H$25)=31,MONTH(Postup!$H$25)=12,YEAR(Postup!$H$25)=$K$61),Provozování!P34,IF(YEAR(Postup!$H$25)=$K$61,Provozování!$BM34,0)))</f>
        <v>0</v>
      </c>
      <c r="M72" s="164">
        <f>IF(Provozování!$Q$16="Neaktivní",0,Provozování!Q34)</f>
        <v>0</v>
      </c>
      <c r="N72" s="158">
        <f>IF(Provozování!$Q$16="Neaktivní",0,Provozování!R34)</f>
        <v>0</v>
      </c>
      <c r="O72" s="164">
        <f>IF(YEAR(Postup!$H$25)&gt;$O$61,Provozování!T34,IF(AND(DAY(Postup!$H$25)=31,MONTH(Postup!$H$25)=12,YEAR(Postup!$H$25)=$O$61),Provozování!T34,IF(YEAR(Postup!$H$25)=$O$61,Provozování!$BL34,0)))</f>
        <v>0</v>
      </c>
      <c r="P72" s="158">
        <f>IF(YEAR(Postup!$H$25)&gt;$O$61,Provozování!U34,IF(AND(DAY(Postup!$H$25)=31,MONTH(Postup!$H$25)=12,YEAR(Postup!$H$25)=$O$61),Provozování!U34,IF(YEAR(Postup!$H$25)=$O$61,Provozování!$BM34,0)))</f>
        <v>0</v>
      </c>
      <c r="Q72" s="164">
        <f>IF(Provozování!$V$16="Neaktivní",0,Provozování!V34)</f>
        <v>0</v>
      </c>
      <c r="R72" s="158">
        <f>IF(Provozování!$V$16="Neaktivní",0,Provozování!W34)</f>
        <v>0</v>
      </c>
      <c r="S72" s="164">
        <f>IF(YEAR(Postup!$H$25)&gt;$S$61,Provozování!Y34,IF(AND(DAY(Postup!$H$25)=31,MONTH(Postup!$H$25)=12,YEAR(Postup!$H$25)=$S$61),Provozování!Y34,IF(YEAR(Postup!$H$25)=$S$61,Provozování!$BL34,0)))</f>
        <v>0</v>
      </c>
      <c r="T72" s="158">
        <f>IF(YEAR(Postup!$H$25)&gt;$S$61,Provozování!Z34,IF(AND(DAY(Postup!$H$25)=31,MONTH(Postup!$H$25)=12,YEAR(Postup!$H$25)=$S$61),Provozování!Z34,IF(YEAR(Postup!$H$25)=$S$61,Provozování!$BM34,0)))</f>
        <v>0</v>
      </c>
      <c r="U72" s="164">
        <f>IF(Provozování!$AA$16="Neaktivní",0,Provozování!AA34)</f>
        <v>0</v>
      </c>
      <c r="V72" s="158">
        <f>IF(Provozování!$AA$16="Neaktivní",0,Provozování!AB34)</f>
        <v>0</v>
      </c>
      <c r="W72" s="164">
        <f>IF(YEAR(Postup!$H$25)&gt;$W$61,Provozování!AD34,IF(AND(DAY(Postup!$H$25)=31,MONTH(Postup!$H$25)=12,YEAR(Postup!$H$25)=$W$61),Provozování!AD34,IF(YEAR(Postup!$H$25)=$W$61,Provozování!$BL34,0)))</f>
        <v>0</v>
      </c>
      <c r="X72" s="158">
        <f>IF(YEAR(Postup!$H$25)&gt;$W$61,Provozování!AE34,IF(AND(DAY(Postup!$H$25)=31,MONTH(Postup!$H$25)=12,YEAR(Postup!$H$25)=$W$61),Provozování!AE34,IF(YEAR(Postup!$H$25)=$W$61,Provozování!$BM34,0)))</f>
        <v>0</v>
      </c>
      <c r="Y72" s="164">
        <f>IF(Provozování!$AF$16="Neaktivní",0,Provozování!AF34)</f>
        <v>0</v>
      </c>
      <c r="Z72" s="158">
        <f>IF(Provozování!$AF$16="Neaktivní",0,Provozování!AG34)</f>
        <v>0</v>
      </c>
      <c r="AA72" s="164">
        <f>IF(YEAR(Postup!$H$25)&gt;$AA$61,Provozování!AI34,IF(AND(DAY(Postup!$H$25)=31,MONTH(Postup!$H$25)=12,YEAR(Postup!$H$25)=$AA$61),Provozování!AI34,IF(YEAR(Postup!$H$25)=$AA$61,Provozování!$BL34,0)))</f>
        <v>0</v>
      </c>
      <c r="AB72" s="158">
        <f>IF(YEAR(Postup!$H$25)&gt;$AA$61,Provozování!AJ34,IF(AND(DAY(Postup!$H$25)=31,MONTH(Postup!$H$25)=12,YEAR(Postup!$H$25)=$AA$61),Provozování!AJ34,IF(YEAR(Postup!$H$25)=$AA$61,Provozování!$BM34,0)))</f>
        <v>0</v>
      </c>
      <c r="AC72" s="164">
        <f>IF(Provozování!$AK$16="Neaktivní",0,Provozování!AK34)</f>
        <v>0</v>
      </c>
      <c r="AD72" s="158">
        <f>IF(Provozování!$AK$16="Neaktivní",0,Provozování!AL34)</f>
        <v>0</v>
      </c>
      <c r="AE72" s="164">
        <f>IF(YEAR(Postup!$H$25)&gt;$AE$61,Provozování!AN34,IF(AND(DAY(Postup!$H$25)=31,MONTH(Postup!$H$25)=12,YEAR(Postup!$H$25)=$AE$61),Provozování!AN34,IF(YEAR(Postup!$H$25)=$AE$61,Provozování!$BL34,0)))</f>
        <v>0</v>
      </c>
      <c r="AF72" s="158">
        <f>IF(YEAR(Postup!$H$25)&gt;$AE$61,Provozování!AO34,IF(AND(DAY(Postup!$H$25)=31,MONTH(Postup!$H$25)=12,YEAR(Postup!$H$25)=$AE$61),Provozování!AO34,IF(YEAR(Postup!$H$25)=$AE$61,Provozování!$BM34,0)))</f>
        <v>0</v>
      </c>
      <c r="AG72" s="164">
        <f>IF(Provozování!$AP$16="Neaktivní",0,Provozování!AP34)</f>
        <v>0</v>
      </c>
      <c r="AH72" s="158">
        <f>IF(Provozování!$AP$16="Neaktivní",0,Provozování!AQ34)</f>
        <v>0</v>
      </c>
      <c r="AI72" s="164">
        <f>IF(YEAR(Postup!$H$25)&gt;$AI$61,Provozování!AS34,IF(AND(DAY(Postup!$H$25)=31,MONTH(Postup!$H$25)=12,YEAR(Postup!$H$25)=$AI$61),Provozování!AS34,IF(YEAR(Postup!$H$25)=$AI$61,Provozování!$BL34,0)))</f>
        <v>0</v>
      </c>
      <c r="AJ72" s="158">
        <f>IF(YEAR(Postup!$H$25)&gt;$AI$61,Provozování!AT34,IF(AND(DAY(Postup!$H$25)=31,MONTH(Postup!$H$25)=12,YEAR(Postup!$H$25)=$AI$61),Provozování!AT34,IF(YEAR(Postup!$H$25)=$AI$61,Provozování!$BM34,0)))</f>
        <v>0</v>
      </c>
      <c r="AK72" s="164">
        <f>IF(Provozování!$AU$16="Neaktivní",0,Provozování!AU34)</f>
        <v>0</v>
      </c>
      <c r="AL72" s="158">
        <f>IF(Provozování!$AU$16="Neaktivní",0,Provozování!AV34)</f>
        <v>0</v>
      </c>
      <c r="AM72" s="164">
        <f>IF(YEAR(Postup!$H$25)&gt;$AM$61,Provozování!AX34,IF(AND(DAY(Postup!$H$25)=31,MONTH(Postup!$H$25)=12,YEAR(Postup!$H$25)=$AM$61),Provozování!AX34,IF(YEAR(Postup!$H$25)=$AM$61,Provozování!$BL34,0)))</f>
        <v>0</v>
      </c>
      <c r="AN72" s="158">
        <f>IF(YEAR(Postup!$H$25)&gt;$AM$61,Provozování!AY34,IF(AND(DAY(Postup!$H$25)=31,MONTH(Postup!$H$25)=12,YEAR(Postup!$H$25)=$AM$61),Provozování!AY34,IF(YEAR(Postup!$H$25)=$AM$61,Provozování!$BM34,0)))</f>
        <v>0</v>
      </c>
      <c r="AO72" s="164">
        <f>IF(Provozování!$AZ$16="Neaktivní",0,Provozování!AZ34)</f>
        <v>0</v>
      </c>
      <c r="AP72" s="158">
        <f>IF(Provozování!$AZ$16="Neaktivní",0,Provozování!BA34)</f>
        <v>0</v>
      </c>
      <c r="AQ72" s="164">
        <f>IF(YEAR(Postup!$H$25)&gt;$AQ$61,Provozování!BC34,IF(AND(DAY(Postup!$H$25)=31,MONTH(Postup!$H$25)=12,YEAR(Postup!$H$25)=$AQ$61),Provozování!BC34,IF(YEAR(Postup!$H$25)=$AQ$61,Provozování!$BL34,0)))</f>
        <v>0</v>
      </c>
      <c r="AR72" s="158">
        <f>IF(YEAR(Postup!$H$25)&gt;$AM$61,Provozování!BD34,IF(AND(DAY(Postup!$H$25)=31,MONTH(Postup!$H$25)=12,YEAR(Postup!$H$25)=$AM$61),Provozování!BD34,IF(YEAR(Postup!$H$25)=$AM$61,Provozování!$BM34,0)))</f>
        <v>0</v>
      </c>
      <c r="AS72" s="164">
        <f>IF(Provozování!$BE$16="Neaktivní",0,Provozování!BE34)</f>
        <v>0</v>
      </c>
      <c r="AT72" s="158">
        <f>IF(Provozování!$BE$16="Neaktivní",0,Provozování!BF34)</f>
        <v>0</v>
      </c>
      <c r="AU72" s="164">
        <f>IF(YEAR(Postup!$H$25)&gt;$AU$61,Provozování!BH34,IF(AND(DAY(Postup!$H$25)=31,MONTH(Postup!$H$25)=12,YEAR(Postup!$H$25)=$AU$61),Provozování!BH34,IF(YEAR(Postup!$H$25)=$AU$61,Provozování!$BL34,0)))</f>
        <v>0</v>
      </c>
      <c r="AV72" s="158">
        <f>IF(YEAR(Postup!$H$25)&gt;$AU$61,Provozování!BI34,IF(AND(DAY(Postup!$H$25)=31,MONTH(Postup!$H$25)=12,YEAR(Postup!$H$25)=$AU$61),Provozování!BI34,IF(YEAR(Postup!$H$25)=$AU$61,Provozování!$BM34,0)))</f>
        <v>0</v>
      </c>
      <c r="AW72" s="164">
        <f>IF(Provozování!$BJ$16="Neaktivní",0,Provozování!BJ34)</f>
        <v>0</v>
      </c>
      <c r="AX72" s="158">
        <f>IF(Provozování!$BJ$16="Neaktivní",0,Provozování!BK34)</f>
        <v>0</v>
      </c>
    </row>
    <row r="73" spans="1:50" x14ac:dyDescent="0.25">
      <c r="A73" s="33"/>
      <c r="B73" s="12" t="s">
        <v>35</v>
      </c>
      <c r="C73" s="919" t="s">
        <v>36</v>
      </c>
      <c r="D73" s="919"/>
      <c r="E73" s="919"/>
      <c r="F73" s="3" t="s">
        <v>10</v>
      </c>
      <c r="G73" s="164">
        <f>IF(AND(DAY(Postup!$H$24)=1,MONTH(Postup!$H$24)=1),Provozování!E35,Provozování!G35)</f>
        <v>0</v>
      </c>
      <c r="H73" s="158">
        <f>IF(AND(DAY(Postup!$H$24)=1,MONTH(Postup!$H$24)=1),Provozování!F35,Provozování!H35)</f>
        <v>0</v>
      </c>
      <c r="I73" s="164">
        <f>IF(Provozování!$I$16="Neaktivní",0,Provozování!I35)</f>
        <v>0</v>
      </c>
      <c r="J73" s="158">
        <f>IF(Provozování!$I$16="Neaktivní",0,Provozování!J35)</f>
        <v>0</v>
      </c>
      <c r="K73" s="164">
        <f>IF(YEAR(Postup!$H$25)&gt;$K$61,Provozování!O35,IF(AND(DAY(Postup!$H$25)=31,MONTH(Postup!$H$25)=12,YEAR(Postup!$H$25)=$K$61),Provozování!O35,IF(YEAR(Postup!$H$25)=$K$61,Provozování!$BL35,0)))</f>
        <v>0</v>
      </c>
      <c r="L73" s="158">
        <f>IF(YEAR(Postup!$H$25)&gt;$K$61,Provozování!P35,IF(AND(DAY(Postup!$H$25)=31,MONTH(Postup!$H$25)=12,YEAR(Postup!$H$25)=$K$61),Provozování!P35,IF(YEAR(Postup!$H$25)=$K$61,Provozování!$BM35,0)))</f>
        <v>0</v>
      </c>
      <c r="M73" s="164">
        <f>IF(Provozování!$Q$16="Neaktivní",0,Provozování!Q35)</f>
        <v>0</v>
      </c>
      <c r="N73" s="158">
        <f>IF(Provozování!$Q$16="Neaktivní",0,Provozování!R35)</f>
        <v>0</v>
      </c>
      <c r="O73" s="164">
        <f>IF(YEAR(Postup!$H$25)&gt;$O$61,Provozování!T35,IF(AND(DAY(Postup!$H$25)=31,MONTH(Postup!$H$25)=12,YEAR(Postup!$H$25)=$O$61),Provozování!T35,IF(YEAR(Postup!$H$25)=$O$61,Provozování!$BL35,0)))</f>
        <v>0</v>
      </c>
      <c r="P73" s="158">
        <f>IF(YEAR(Postup!$H$25)&gt;$O$61,Provozování!U35,IF(AND(DAY(Postup!$H$25)=31,MONTH(Postup!$H$25)=12,YEAR(Postup!$H$25)=$O$61),Provozování!U35,IF(YEAR(Postup!$H$25)=$O$61,Provozování!$BM35,0)))</f>
        <v>0</v>
      </c>
      <c r="Q73" s="164">
        <f>IF(Provozování!$V$16="Neaktivní",0,Provozování!V35)</f>
        <v>0</v>
      </c>
      <c r="R73" s="158">
        <f>IF(Provozování!$V$16="Neaktivní",0,Provozování!W35)</f>
        <v>0</v>
      </c>
      <c r="S73" s="164">
        <f>IF(YEAR(Postup!$H$25)&gt;$S$61,Provozování!Y35,IF(AND(DAY(Postup!$H$25)=31,MONTH(Postup!$H$25)=12,YEAR(Postup!$H$25)=$S$61),Provozování!Y35,IF(YEAR(Postup!$H$25)=$S$61,Provozování!$BL35,0)))</f>
        <v>0</v>
      </c>
      <c r="T73" s="158">
        <f>IF(YEAR(Postup!$H$25)&gt;$S$61,Provozování!Z35,IF(AND(DAY(Postup!$H$25)=31,MONTH(Postup!$H$25)=12,YEAR(Postup!$H$25)=$S$61),Provozování!Z35,IF(YEAR(Postup!$H$25)=$S$61,Provozování!$BM35,0)))</f>
        <v>0</v>
      </c>
      <c r="U73" s="164">
        <f>IF(Provozování!$AA$16="Neaktivní",0,Provozování!AA35)</f>
        <v>0</v>
      </c>
      <c r="V73" s="158">
        <f>IF(Provozování!$AA$16="Neaktivní",0,Provozování!AB35)</f>
        <v>0</v>
      </c>
      <c r="W73" s="164">
        <f>IF(YEAR(Postup!$H$25)&gt;$W$61,Provozování!AD35,IF(AND(DAY(Postup!$H$25)=31,MONTH(Postup!$H$25)=12,YEAR(Postup!$H$25)=$W$61),Provozování!AD35,IF(YEAR(Postup!$H$25)=$W$61,Provozování!$BL35,0)))</f>
        <v>0</v>
      </c>
      <c r="X73" s="158">
        <f>IF(YEAR(Postup!$H$25)&gt;$W$61,Provozování!AE35,IF(AND(DAY(Postup!$H$25)=31,MONTH(Postup!$H$25)=12,YEAR(Postup!$H$25)=$W$61),Provozování!AE35,IF(YEAR(Postup!$H$25)=$W$61,Provozování!$BM35,0)))</f>
        <v>0</v>
      </c>
      <c r="Y73" s="164">
        <f>IF(Provozování!$AF$16="Neaktivní",0,Provozování!AF35)</f>
        <v>0</v>
      </c>
      <c r="Z73" s="158">
        <f>IF(Provozování!$AF$16="Neaktivní",0,Provozování!AG35)</f>
        <v>0</v>
      </c>
      <c r="AA73" s="164">
        <f>IF(YEAR(Postup!$H$25)&gt;$AA$61,Provozování!AI35,IF(AND(DAY(Postup!$H$25)=31,MONTH(Postup!$H$25)=12,YEAR(Postup!$H$25)=$AA$61),Provozování!AI35,IF(YEAR(Postup!$H$25)=$AA$61,Provozování!$BL35,0)))</f>
        <v>0</v>
      </c>
      <c r="AB73" s="158">
        <f>IF(YEAR(Postup!$H$25)&gt;$AA$61,Provozování!AJ35,IF(AND(DAY(Postup!$H$25)=31,MONTH(Postup!$H$25)=12,YEAR(Postup!$H$25)=$AA$61),Provozování!AJ35,IF(YEAR(Postup!$H$25)=$AA$61,Provozování!$BM35,0)))</f>
        <v>0</v>
      </c>
      <c r="AC73" s="164">
        <f>IF(Provozování!$AK$16="Neaktivní",0,Provozování!AK35)</f>
        <v>0</v>
      </c>
      <c r="AD73" s="158">
        <f>IF(Provozování!$AK$16="Neaktivní",0,Provozování!AL35)</f>
        <v>0</v>
      </c>
      <c r="AE73" s="164">
        <f>IF(YEAR(Postup!$H$25)&gt;$AE$61,Provozování!AN35,IF(AND(DAY(Postup!$H$25)=31,MONTH(Postup!$H$25)=12,YEAR(Postup!$H$25)=$AE$61),Provozování!AN35,IF(YEAR(Postup!$H$25)=$AE$61,Provozování!$BL35,0)))</f>
        <v>0</v>
      </c>
      <c r="AF73" s="158">
        <f>IF(YEAR(Postup!$H$25)&gt;$AE$61,Provozování!AO35,IF(AND(DAY(Postup!$H$25)=31,MONTH(Postup!$H$25)=12,YEAR(Postup!$H$25)=$AE$61),Provozování!AO35,IF(YEAR(Postup!$H$25)=$AE$61,Provozování!$BM35,0)))</f>
        <v>0</v>
      </c>
      <c r="AG73" s="164">
        <f>IF(Provozování!$AP$16="Neaktivní",0,Provozování!AP35)</f>
        <v>0</v>
      </c>
      <c r="AH73" s="158">
        <f>IF(Provozování!$AP$16="Neaktivní",0,Provozování!AQ35)</f>
        <v>0</v>
      </c>
      <c r="AI73" s="164">
        <f>IF(YEAR(Postup!$H$25)&gt;$AI$61,Provozování!AS35,IF(AND(DAY(Postup!$H$25)=31,MONTH(Postup!$H$25)=12,YEAR(Postup!$H$25)=$AI$61),Provozování!AS35,IF(YEAR(Postup!$H$25)=$AI$61,Provozování!$BL35,0)))</f>
        <v>0</v>
      </c>
      <c r="AJ73" s="158">
        <f>IF(YEAR(Postup!$H$25)&gt;$AI$61,Provozování!AT35,IF(AND(DAY(Postup!$H$25)=31,MONTH(Postup!$H$25)=12,YEAR(Postup!$H$25)=$AI$61),Provozování!AT35,IF(YEAR(Postup!$H$25)=$AI$61,Provozování!$BM35,0)))</f>
        <v>0</v>
      </c>
      <c r="AK73" s="164">
        <f>IF(Provozování!$AU$16="Neaktivní",0,Provozování!AU35)</f>
        <v>0</v>
      </c>
      <c r="AL73" s="158">
        <f>IF(Provozování!$AU$16="Neaktivní",0,Provozování!AV35)</f>
        <v>0</v>
      </c>
      <c r="AM73" s="164">
        <f>IF(YEAR(Postup!$H$25)&gt;$AM$61,Provozování!AX35,IF(AND(DAY(Postup!$H$25)=31,MONTH(Postup!$H$25)=12,YEAR(Postup!$H$25)=$AM$61),Provozování!AX35,IF(YEAR(Postup!$H$25)=$AM$61,Provozování!$BL35,0)))</f>
        <v>0</v>
      </c>
      <c r="AN73" s="158">
        <f>IF(YEAR(Postup!$H$25)&gt;$AM$61,Provozování!AY35,IF(AND(DAY(Postup!$H$25)=31,MONTH(Postup!$H$25)=12,YEAR(Postup!$H$25)=$AM$61),Provozování!AY35,IF(YEAR(Postup!$H$25)=$AM$61,Provozování!$BM35,0)))</f>
        <v>0</v>
      </c>
      <c r="AO73" s="164">
        <f>IF(Provozování!$AZ$16="Neaktivní",0,Provozování!AZ35)</f>
        <v>0</v>
      </c>
      <c r="AP73" s="158">
        <f>IF(Provozování!$AZ$16="Neaktivní",0,Provozování!BA35)</f>
        <v>0</v>
      </c>
      <c r="AQ73" s="164">
        <f>IF(YEAR(Postup!$H$25)&gt;$AQ$61,Provozování!BC35,IF(AND(DAY(Postup!$H$25)=31,MONTH(Postup!$H$25)=12,YEAR(Postup!$H$25)=$AQ$61),Provozování!BC35,IF(YEAR(Postup!$H$25)=$AQ$61,Provozování!$BL35,0)))</f>
        <v>0</v>
      </c>
      <c r="AR73" s="158">
        <f>IF(YEAR(Postup!$H$25)&gt;$AM$61,Provozování!BD35,IF(AND(DAY(Postup!$H$25)=31,MONTH(Postup!$H$25)=12,YEAR(Postup!$H$25)=$AM$61),Provozování!BD35,IF(YEAR(Postup!$H$25)=$AM$61,Provozování!$BM35,0)))</f>
        <v>0</v>
      </c>
      <c r="AS73" s="164">
        <f>IF(Provozování!$BE$16="Neaktivní",0,Provozování!BE35)</f>
        <v>0</v>
      </c>
      <c r="AT73" s="158">
        <f>IF(Provozování!$BE$16="Neaktivní",0,Provozování!BF35)</f>
        <v>0</v>
      </c>
      <c r="AU73" s="164">
        <f>IF(YEAR(Postup!$H$25)&gt;$AU$61,Provozování!BH35,IF(AND(DAY(Postup!$H$25)=31,MONTH(Postup!$H$25)=12,YEAR(Postup!$H$25)=$AU$61),Provozování!BH35,IF(YEAR(Postup!$H$25)=$AU$61,Provozování!$BL35,0)))</f>
        <v>0</v>
      </c>
      <c r="AV73" s="158">
        <f>IF(YEAR(Postup!$H$25)&gt;$AU$61,Provozování!BI35,IF(AND(DAY(Postup!$H$25)=31,MONTH(Postup!$H$25)=12,YEAR(Postup!$H$25)=$AU$61),Provozování!BI35,IF(YEAR(Postup!$H$25)=$AU$61,Provozování!$BM35,0)))</f>
        <v>0</v>
      </c>
      <c r="AW73" s="164">
        <f>IF(Provozování!$BJ$16="Neaktivní",0,Provozování!BJ35)</f>
        <v>0</v>
      </c>
      <c r="AX73" s="158">
        <f>IF(Provozování!$BJ$16="Neaktivní",0,Provozování!BK35)</f>
        <v>0</v>
      </c>
    </row>
    <row r="74" spans="1:50" hidden="1" x14ac:dyDescent="0.25">
      <c r="A74" s="33"/>
      <c r="B74" s="12" t="s">
        <v>37</v>
      </c>
      <c r="C74" s="919" t="s">
        <v>417</v>
      </c>
      <c r="D74" s="919"/>
      <c r="E74" s="919"/>
      <c r="F74" s="3" t="s">
        <v>10</v>
      </c>
      <c r="G74" s="164">
        <f>IF(AND(DAY(Postup!$H$24)=1,MONTH(Postup!$H$24)=1),Provozování!E36,Provozování!G36)</f>
        <v>0</v>
      </c>
      <c r="H74" s="158">
        <f>IF(AND(DAY(Postup!$H$24)=1,MONTH(Postup!$H$24)=1),Provozování!F36,Provozování!H36)</f>
        <v>0.14000000000000001</v>
      </c>
      <c r="I74" s="164">
        <f>IF(Provozování!$I$16="Neaktivní",0,Provozování!I36)</f>
        <v>0</v>
      </c>
      <c r="J74" s="158">
        <f>IF(Provozování!$I$16="Neaktivní",0,Provozování!J36)</f>
        <v>0</v>
      </c>
      <c r="K74" s="164">
        <f>IF(YEAR(Postup!$H$25)&gt;$K$61,Provozování!O36,IF(AND(DAY(Postup!$H$25)=31,MONTH(Postup!$H$25)=12,YEAR(Postup!$H$25)=$K$61),Provozování!O36,IF(YEAR(Postup!$H$25)=$K$61,Provozování!$BL36,0)))</f>
        <v>0</v>
      </c>
      <c r="L74" s="158">
        <f>IF(YEAR(Postup!$H$25)&gt;$K$61,Provozování!P36,IF(AND(DAY(Postup!$H$25)=31,MONTH(Postup!$H$25)=12,YEAR(Postup!$H$25)=$K$61),Provozování!P36,IF(YEAR(Postup!$H$25)=$K$61,Provozování!$BM36,0)))</f>
        <v>0.14000000000000001</v>
      </c>
      <c r="M74" s="164">
        <f>IF(Provozování!$Q$16="Neaktivní",0,Provozování!Q36)</f>
        <v>0</v>
      </c>
      <c r="N74" s="158">
        <f>IF(Provozování!$Q$16="Neaktivní",0,Provozování!R36)</f>
        <v>0</v>
      </c>
      <c r="O74" s="164">
        <f>IF(YEAR(Postup!$H$25)&gt;$O$61,Provozování!T36,IF(AND(DAY(Postup!$H$25)=31,MONTH(Postup!$H$25)=12,YEAR(Postup!$H$25)=$O$61),Provozování!T36,IF(YEAR(Postup!$H$25)=$O$61,Provozování!$BL36,0)))</f>
        <v>0</v>
      </c>
      <c r="P74" s="158">
        <f>IF(YEAR(Postup!$H$25)&gt;$O$61,Provozování!U36,IF(AND(DAY(Postup!$H$25)=31,MONTH(Postup!$H$25)=12,YEAR(Postup!$H$25)=$O$61),Provozování!U36,IF(YEAR(Postup!$H$25)=$O$61,Provozování!$BM36,0)))</f>
        <v>0.14000000000000001</v>
      </c>
      <c r="Q74" s="164">
        <f>IF(Provozování!$V$16="Neaktivní",0,Provozování!V36)</f>
        <v>0</v>
      </c>
      <c r="R74" s="158">
        <f>IF(Provozování!$V$16="Neaktivní",0,Provozování!W36)</f>
        <v>0</v>
      </c>
      <c r="S74" s="164">
        <f>IF(YEAR(Postup!$H$25)&gt;$S$61,Provozování!Y36,IF(AND(DAY(Postup!$H$25)=31,MONTH(Postup!$H$25)=12,YEAR(Postup!$H$25)=$S$61),Provozování!Y36,IF(YEAR(Postup!$H$25)=$S$61,Provozování!$BL36,0)))</f>
        <v>0</v>
      </c>
      <c r="T74" s="158">
        <f>IF(YEAR(Postup!$H$25)&gt;$S$61,Provozování!Z36,IF(AND(DAY(Postup!$H$25)=31,MONTH(Postup!$H$25)=12,YEAR(Postup!$H$25)=$S$61),Provozování!Z36,IF(YEAR(Postup!$H$25)=$S$61,Provozování!$BM36,0)))</f>
        <v>0.15</v>
      </c>
      <c r="U74" s="164">
        <f>IF(Provozování!$AA$16="Neaktivní",0,Provozování!AA36)</f>
        <v>0</v>
      </c>
      <c r="V74" s="158">
        <f>IF(Provozování!$AA$16="Neaktivní",0,Provozování!AB36)</f>
        <v>0</v>
      </c>
      <c r="W74" s="164">
        <f>IF(YEAR(Postup!$H$25)&gt;$W$61,Provozování!AD36,IF(AND(DAY(Postup!$H$25)=31,MONTH(Postup!$H$25)=12,YEAR(Postup!$H$25)=$W$61),Provozování!AD36,IF(YEAR(Postup!$H$25)=$W$61,Provozování!$BL36,0)))</f>
        <v>0</v>
      </c>
      <c r="X74" s="158">
        <f>IF(YEAR(Postup!$H$25)&gt;$W$61,Provozování!AE36,IF(AND(DAY(Postup!$H$25)=31,MONTH(Postup!$H$25)=12,YEAR(Postup!$H$25)=$W$61),Provozování!AE36,IF(YEAR(Postup!$H$25)=$W$61,Provozování!$BM36,0)))</f>
        <v>0.15</v>
      </c>
      <c r="Y74" s="164">
        <f>IF(Provozování!$AF$16="Neaktivní",0,Provozování!AF36)</f>
        <v>0</v>
      </c>
      <c r="Z74" s="158">
        <f>IF(Provozování!$AF$16="Neaktivní",0,Provozování!AG36)</f>
        <v>0</v>
      </c>
      <c r="AA74" s="164">
        <f>IF(YEAR(Postup!$H$25)&gt;$AA$61,Provozování!AI36,IF(AND(DAY(Postup!$H$25)=31,MONTH(Postup!$H$25)=12,YEAR(Postup!$H$25)=$AA$61),Provozování!AI36,IF(YEAR(Postup!$H$25)=$AA$61,Provozování!$BL36,0)))</f>
        <v>0</v>
      </c>
      <c r="AB74" s="158">
        <f>IF(YEAR(Postup!$H$25)&gt;$AA$61,Provozování!AJ36,IF(AND(DAY(Postup!$H$25)=31,MONTH(Postup!$H$25)=12,YEAR(Postup!$H$25)=$AA$61),Provozování!AJ36,IF(YEAR(Postup!$H$25)=$AA$61,Provozování!$BM36,0)))</f>
        <v>0</v>
      </c>
      <c r="AC74" s="164">
        <f>IF(Provozování!$AK$16="Neaktivní",0,Provozování!AK36)</f>
        <v>0</v>
      </c>
      <c r="AD74" s="158">
        <f>IF(Provozování!$AK$16="Neaktivní",0,Provozování!AL36)</f>
        <v>0</v>
      </c>
      <c r="AE74" s="164">
        <f>IF(YEAR(Postup!$H$25)&gt;$AE$61,Provozování!AN36,IF(AND(DAY(Postup!$H$25)=31,MONTH(Postup!$H$25)=12,YEAR(Postup!$H$25)=$AE$61),Provozování!AN36,IF(YEAR(Postup!$H$25)=$AE$61,Provozování!$BL36,0)))</f>
        <v>0</v>
      </c>
      <c r="AF74" s="158">
        <f>IF(YEAR(Postup!$H$25)&gt;$AE$61,Provozování!AO36,IF(AND(DAY(Postup!$H$25)=31,MONTH(Postup!$H$25)=12,YEAR(Postup!$H$25)=$AE$61),Provozování!AO36,IF(YEAR(Postup!$H$25)=$AE$61,Provozování!$BM36,0)))</f>
        <v>0</v>
      </c>
      <c r="AG74" s="164">
        <f>IF(Provozování!$AP$16="Neaktivní",0,Provozování!AP36)</f>
        <v>0</v>
      </c>
      <c r="AH74" s="158">
        <f>IF(Provozování!$AP$16="Neaktivní",0,Provozování!AQ36)</f>
        <v>0</v>
      </c>
      <c r="AI74" s="164">
        <f>IF(YEAR(Postup!$H$25)&gt;$AI$61,Provozování!AS36,IF(AND(DAY(Postup!$H$25)=31,MONTH(Postup!$H$25)=12,YEAR(Postup!$H$25)=$AI$61),Provozování!AS36,IF(YEAR(Postup!$H$25)=$AI$61,Provozování!$BL36,0)))</f>
        <v>0</v>
      </c>
      <c r="AJ74" s="158">
        <f>IF(YEAR(Postup!$H$25)&gt;$AI$61,Provozování!AT36,IF(AND(DAY(Postup!$H$25)=31,MONTH(Postup!$H$25)=12,YEAR(Postup!$H$25)=$AI$61),Provozování!AT36,IF(YEAR(Postup!$H$25)=$AI$61,Provozování!$BM36,0)))</f>
        <v>0</v>
      </c>
      <c r="AK74" s="164">
        <f>IF(Provozování!$AU$16="Neaktivní",0,Provozování!AU36)</f>
        <v>0</v>
      </c>
      <c r="AL74" s="158">
        <f>IF(Provozování!$AU$16="Neaktivní",0,Provozování!AV36)</f>
        <v>0</v>
      </c>
      <c r="AM74" s="164">
        <f>IF(YEAR(Postup!$H$25)&gt;$AM$61,Provozování!AX36,IF(AND(DAY(Postup!$H$25)=31,MONTH(Postup!$H$25)=12,YEAR(Postup!$H$25)=$AM$61),Provozování!AX36,IF(YEAR(Postup!$H$25)=$AM$61,Provozování!$BL36,0)))</f>
        <v>0</v>
      </c>
      <c r="AN74" s="158">
        <f>IF(YEAR(Postup!$H$25)&gt;$AM$61,Provozování!AY36,IF(AND(DAY(Postup!$H$25)=31,MONTH(Postup!$H$25)=12,YEAR(Postup!$H$25)=$AM$61),Provozování!AY36,IF(YEAR(Postup!$H$25)=$AM$61,Provozování!$BM36,0)))</f>
        <v>0</v>
      </c>
      <c r="AO74" s="164">
        <f>IF(Provozování!$AZ$16="Neaktivní",0,Provozování!AZ36)</f>
        <v>0</v>
      </c>
      <c r="AP74" s="158">
        <f>IF(Provozování!$AZ$16="Neaktivní",0,Provozování!BA36)</f>
        <v>0</v>
      </c>
      <c r="AQ74" s="164">
        <f>IF(YEAR(Postup!$H$25)&gt;$AQ$61,Provozování!BC36,IF(AND(DAY(Postup!$H$25)=31,MONTH(Postup!$H$25)=12,YEAR(Postup!$H$25)=$AQ$61),Provozování!BC36,IF(YEAR(Postup!$H$25)=$AQ$61,Provozování!$BL36,0)))</f>
        <v>0</v>
      </c>
      <c r="AR74" s="158">
        <f>IF(YEAR(Postup!$H$25)&gt;$AM$61,Provozování!BD36,IF(AND(DAY(Postup!$H$25)=31,MONTH(Postup!$H$25)=12,YEAR(Postup!$H$25)=$AM$61),Provozování!BD36,IF(YEAR(Postup!$H$25)=$AM$61,Provozování!$BM36,0)))</f>
        <v>0</v>
      </c>
      <c r="AS74" s="164">
        <f>IF(Provozování!$BE$16="Neaktivní",0,Provozování!BE36)</f>
        <v>0</v>
      </c>
      <c r="AT74" s="158">
        <f>IF(Provozování!$BE$16="Neaktivní",0,Provozování!BF36)</f>
        <v>0</v>
      </c>
      <c r="AU74" s="164">
        <f>IF(YEAR(Postup!$H$25)&gt;$AU$61,Provozování!BH36,IF(AND(DAY(Postup!$H$25)=31,MONTH(Postup!$H$25)=12,YEAR(Postup!$H$25)=$AU$61),Provozování!BH36,IF(YEAR(Postup!$H$25)=$AU$61,Provozování!$BL36,0)))</f>
        <v>0</v>
      </c>
      <c r="AV74" s="158">
        <f>IF(YEAR(Postup!$H$25)&gt;$AU$61,Provozování!BI36,IF(AND(DAY(Postup!$H$25)=31,MONTH(Postup!$H$25)=12,YEAR(Postup!$H$25)=$AU$61),Provozování!BI36,IF(YEAR(Postup!$H$25)=$AU$61,Provozování!$BM36,0)))</f>
        <v>0</v>
      </c>
      <c r="AW74" s="164">
        <f>IF(Provozování!$BJ$16="Neaktivní",0,Provozování!BJ36)</f>
        <v>0</v>
      </c>
      <c r="AX74" s="158">
        <f>IF(Provozování!$BJ$16="Neaktivní",0,Provozování!BK36)</f>
        <v>0</v>
      </c>
    </row>
    <row r="75" spans="1:50" hidden="1" x14ac:dyDescent="0.25">
      <c r="A75" s="33"/>
      <c r="C75" s="21"/>
      <c r="D75" s="457"/>
      <c r="E75" s="457"/>
      <c r="F75" s="3"/>
      <c r="G75" s="164">
        <f>IF(AND(DAY(Postup!$H$24)=1,MONTH(Postup!$H$24)=1),Provozování!E37,Provozování!G37)</f>
        <v>0</v>
      </c>
      <c r="H75" s="158">
        <f>IF(AND(DAY(Postup!$H$24)=1,MONTH(Postup!$H$24)=1),Provozování!F37,Provozování!H37)</f>
        <v>0</v>
      </c>
      <c r="I75" s="164">
        <f>IF(Provozování!$I$16="Neaktivní",0,Provozování!I37)</f>
        <v>0</v>
      </c>
      <c r="J75" s="158">
        <f>IF(Provozování!$I$16="Neaktivní",0,Provozování!J37)</f>
        <v>0</v>
      </c>
      <c r="K75" s="164">
        <f>IF(YEAR(Postup!$H$25)&gt;$K$61,Provozování!O37,IF(AND(DAY(Postup!$H$25)=31,MONTH(Postup!$H$25)=12,YEAR(Postup!$H$25)=$K$61),Provozování!O37,IF(YEAR(Postup!$H$25)=$K$61,Provozování!$BL37,0)))</f>
        <v>0</v>
      </c>
      <c r="L75" s="158">
        <f>IF(YEAR(Postup!$H$25)&gt;$K$61,Provozování!P37,IF(AND(DAY(Postup!$H$25)=31,MONTH(Postup!$H$25)=12,YEAR(Postup!$H$25)=$K$61),Provozování!P37,IF(YEAR(Postup!$H$25)=$K$61,Provozování!$BM37,0)))</f>
        <v>0</v>
      </c>
      <c r="M75" s="164">
        <f>IF(Provozování!$Q$16="Neaktivní",0,Provozování!Q37)</f>
        <v>0</v>
      </c>
      <c r="N75" s="158">
        <f>IF(Provozování!$Q$16="Neaktivní",0,Provozování!R37)</f>
        <v>0</v>
      </c>
      <c r="O75" s="164">
        <f>IF(YEAR(Postup!$H$25)&gt;$O$61,Provozování!T37,IF(AND(DAY(Postup!$H$25)=31,MONTH(Postup!$H$25)=12,YEAR(Postup!$H$25)=$O$61),Provozování!T37,IF(YEAR(Postup!$H$25)=$O$61,Provozování!$BL37,0)))</f>
        <v>0</v>
      </c>
      <c r="P75" s="158">
        <f>IF(YEAR(Postup!$H$25)&gt;$O$61,Provozování!U37,IF(AND(DAY(Postup!$H$25)=31,MONTH(Postup!$H$25)=12,YEAR(Postup!$H$25)=$O$61),Provozování!U37,IF(YEAR(Postup!$H$25)=$O$61,Provozování!$BM37,0)))</f>
        <v>0</v>
      </c>
      <c r="Q75" s="164">
        <f>IF(Provozování!$V$16="Neaktivní",0,Provozování!V37)</f>
        <v>0</v>
      </c>
      <c r="R75" s="158">
        <f>IF(Provozování!$V$16="Neaktivní",0,Provozování!W37)</f>
        <v>0</v>
      </c>
      <c r="S75" s="164">
        <f>IF(YEAR(Postup!$H$25)&gt;$S$61,Provozování!Y37,IF(AND(DAY(Postup!$H$25)=31,MONTH(Postup!$H$25)=12,YEAR(Postup!$H$25)=$S$61),Provozování!Y37,IF(YEAR(Postup!$H$25)=$S$61,Provozování!$BL37,0)))</f>
        <v>0</v>
      </c>
      <c r="T75" s="158">
        <f>IF(YEAR(Postup!$H$25)&gt;$S$61,Provozování!Z37,IF(AND(DAY(Postup!$H$25)=31,MONTH(Postup!$H$25)=12,YEAR(Postup!$H$25)=$S$61),Provozování!Z37,IF(YEAR(Postup!$H$25)=$S$61,Provozování!$BM37,0)))</f>
        <v>0</v>
      </c>
      <c r="U75" s="164">
        <f>IF(Provozování!$AA$16="Neaktivní",0,Provozování!AA37)</f>
        <v>0</v>
      </c>
      <c r="V75" s="158">
        <f>IF(Provozování!$AA$16="Neaktivní",0,Provozování!AB37)</f>
        <v>0</v>
      </c>
      <c r="W75" s="164">
        <f>IF(YEAR(Postup!$H$25)&gt;$W$61,Provozování!AD37,IF(AND(DAY(Postup!$H$25)=31,MONTH(Postup!$H$25)=12,YEAR(Postup!$H$25)=$W$61),Provozování!AD37,IF(YEAR(Postup!$H$25)=$W$61,Provozování!$BL37,0)))</f>
        <v>0</v>
      </c>
      <c r="X75" s="158">
        <f>IF(YEAR(Postup!$H$25)&gt;$W$61,Provozování!AE37,IF(AND(DAY(Postup!$H$25)=31,MONTH(Postup!$H$25)=12,YEAR(Postup!$H$25)=$W$61),Provozování!AE37,IF(YEAR(Postup!$H$25)=$W$61,Provozování!$BM37,0)))</f>
        <v>0</v>
      </c>
      <c r="Y75" s="164">
        <f>IF(Provozování!$AF$16="Neaktivní",0,Provozování!AF37)</f>
        <v>0</v>
      </c>
      <c r="Z75" s="158">
        <f>IF(Provozování!$AF$16="Neaktivní",0,Provozování!AG37)</f>
        <v>0</v>
      </c>
      <c r="AA75" s="164">
        <f>IF(YEAR(Postup!$H$25)&gt;$AA$61,Provozování!AI37,IF(AND(DAY(Postup!$H$25)=31,MONTH(Postup!$H$25)=12,YEAR(Postup!$H$25)=$AA$61),Provozování!AI37,IF(YEAR(Postup!$H$25)=$AA$61,Provozování!$BL37,0)))</f>
        <v>0</v>
      </c>
      <c r="AB75" s="158">
        <f>IF(YEAR(Postup!$H$25)&gt;$AA$61,Provozování!AJ37,IF(AND(DAY(Postup!$H$25)=31,MONTH(Postup!$H$25)=12,YEAR(Postup!$H$25)=$AA$61),Provozování!AJ37,IF(YEAR(Postup!$H$25)=$AA$61,Provozování!$BM37,0)))</f>
        <v>0</v>
      </c>
      <c r="AC75" s="164">
        <f>IF(Provozování!$AK$16="Neaktivní",0,Provozování!AK37)</f>
        <v>0</v>
      </c>
      <c r="AD75" s="158">
        <f>IF(Provozování!$AK$16="Neaktivní",0,Provozování!AL37)</f>
        <v>0</v>
      </c>
      <c r="AE75" s="164">
        <f>IF(YEAR(Postup!$H$25)&gt;$AE$61,Provozování!AN37,IF(AND(DAY(Postup!$H$25)=31,MONTH(Postup!$H$25)=12,YEAR(Postup!$H$25)=$AE$61),Provozování!AN37,IF(YEAR(Postup!$H$25)=$AE$61,Provozování!$BL37,0)))</f>
        <v>0</v>
      </c>
      <c r="AF75" s="158">
        <f>IF(YEAR(Postup!$H$25)&gt;$AE$61,Provozování!AO37,IF(AND(DAY(Postup!$H$25)=31,MONTH(Postup!$H$25)=12,YEAR(Postup!$H$25)=$AE$61),Provozování!AO37,IF(YEAR(Postup!$H$25)=$AE$61,Provozování!$BM37,0)))</f>
        <v>0</v>
      </c>
      <c r="AG75" s="164">
        <f>IF(Provozování!$AP$16="Neaktivní",0,Provozování!AP37)</f>
        <v>0</v>
      </c>
      <c r="AH75" s="158">
        <f>IF(Provozování!$AP$16="Neaktivní",0,Provozování!AQ37)</f>
        <v>0</v>
      </c>
      <c r="AI75" s="164">
        <f>IF(YEAR(Postup!$H$25)&gt;$AI$61,Provozování!AS37,IF(AND(DAY(Postup!$H$25)=31,MONTH(Postup!$H$25)=12,YEAR(Postup!$H$25)=$AI$61),Provozování!AS37,IF(YEAR(Postup!$H$25)=$AI$61,Provozování!$BL37,0)))</f>
        <v>0</v>
      </c>
      <c r="AJ75" s="158">
        <f>IF(YEAR(Postup!$H$25)&gt;$AI$61,Provozování!AT37,IF(AND(DAY(Postup!$H$25)=31,MONTH(Postup!$H$25)=12,YEAR(Postup!$H$25)=$AI$61),Provozování!AT37,IF(YEAR(Postup!$H$25)=$AI$61,Provozování!$BM37,0)))</f>
        <v>0</v>
      </c>
      <c r="AK75" s="164">
        <f>IF(Provozování!$AU$16="Neaktivní",0,Provozování!AU37)</f>
        <v>0</v>
      </c>
      <c r="AL75" s="158">
        <f>IF(Provozování!$AU$16="Neaktivní",0,Provozování!AV37)</f>
        <v>0</v>
      </c>
      <c r="AM75" s="164">
        <f>IF(YEAR(Postup!$H$25)&gt;$AM$61,Provozování!AX37,IF(AND(DAY(Postup!$H$25)=31,MONTH(Postup!$H$25)=12,YEAR(Postup!$H$25)=$AM$61),Provozování!AX37,IF(YEAR(Postup!$H$25)=$AM$61,Provozování!$BL37,0)))</f>
        <v>0</v>
      </c>
      <c r="AN75" s="158">
        <f>IF(YEAR(Postup!$H$25)&gt;$AM$61,Provozování!AY37,IF(AND(DAY(Postup!$H$25)=31,MONTH(Postup!$H$25)=12,YEAR(Postup!$H$25)=$AM$61),Provozování!AY37,IF(YEAR(Postup!$H$25)=$AM$61,Provozování!$BM37,0)))</f>
        <v>0</v>
      </c>
      <c r="AO75" s="164">
        <f>IF(Provozování!$AZ$16="Neaktivní",0,Provozování!AZ37)</f>
        <v>0</v>
      </c>
      <c r="AP75" s="158">
        <f>IF(Provozování!$AZ$16="Neaktivní",0,Provozování!BA37)</f>
        <v>0</v>
      </c>
      <c r="AQ75" s="164">
        <f>IF(YEAR(Postup!$H$25)&gt;$AQ$61,Provozování!BC37,IF(AND(DAY(Postup!$H$25)=31,MONTH(Postup!$H$25)=12,YEAR(Postup!$H$25)=$AQ$61),Provozování!BC37,IF(YEAR(Postup!$H$25)=$AQ$61,Provozování!$BL37,0)))</f>
        <v>0</v>
      </c>
      <c r="AR75" s="158">
        <f>IF(YEAR(Postup!$H$25)&gt;$AM$61,Provozování!BD37,IF(AND(DAY(Postup!$H$25)=31,MONTH(Postup!$H$25)=12,YEAR(Postup!$H$25)=$AM$61),Provozování!BD37,IF(YEAR(Postup!$H$25)=$AM$61,Provozování!$BM37,0)))</f>
        <v>0</v>
      </c>
      <c r="AS75" s="164">
        <f>IF(Provozování!$BE$16="Neaktivní",0,Provozování!BE37)</f>
        <v>0</v>
      </c>
      <c r="AT75" s="158">
        <f>IF(Provozování!$BE$16="Neaktivní",0,Provozování!BF37)</f>
        <v>0</v>
      </c>
      <c r="AU75" s="164">
        <f>IF(YEAR(Postup!$H$25)&gt;$AU$61,Provozování!BH37,IF(AND(DAY(Postup!$H$25)=31,MONTH(Postup!$H$25)=12,YEAR(Postup!$H$25)=$AU$61),Provozování!BH37,IF(YEAR(Postup!$H$25)=$AU$61,Provozování!$BL37,0)))</f>
        <v>0</v>
      </c>
      <c r="AV75" s="158">
        <f>IF(YEAR(Postup!$H$25)&gt;$AU$61,Provozování!BI37,IF(AND(DAY(Postup!$H$25)=31,MONTH(Postup!$H$25)=12,YEAR(Postup!$H$25)=$AU$61),Provozování!BI37,IF(YEAR(Postup!$H$25)=$AU$61,Provozování!$BM37,0)))</f>
        <v>0</v>
      </c>
      <c r="AW75" s="164">
        <f>IF(Provozování!$BJ$16="Neaktivní",0,Provozování!BJ37)</f>
        <v>0</v>
      </c>
      <c r="AX75" s="158">
        <f>IF(Provozování!$BJ$16="Neaktivní",0,Provozování!BK37)</f>
        <v>0</v>
      </c>
    </row>
    <row r="76" spans="1:50" hidden="1" x14ac:dyDescent="0.25">
      <c r="A76" s="33"/>
      <c r="C76" s="10"/>
      <c r="D76" s="457"/>
      <c r="E76" s="457"/>
      <c r="F76" s="3"/>
      <c r="G76" s="164">
        <f>IF(AND(DAY(Postup!$H$24)=1,MONTH(Postup!$H$24)=1),Provozování!E38,Provozování!G38)</f>
        <v>0</v>
      </c>
      <c r="H76" s="158">
        <f>IF(AND(DAY(Postup!$H$24)=1,MONTH(Postup!$H$24)=1),Provozování!F38,Provozování!H38)</f>
        <v>0</v>
      </c>
      <c r="I76" s="164">
        <f>IF(Provozování!$I$16="Neaktivní",0,Provozování!I38)</f>
        <v>0</v>
      </c>
      <c r="J76" s="158">
        <f>IF(Provozování!$I$16="Neaktivní",0,Provozování!J38)</f>
        <v>0</v>
      </c>
      <c r="K76" s="164">
        <f>IF(YEAR(Postup!$H$25)&gt;$K$61,Provozování!O38,IF(AND(DAY(Postup!$H$25)=31,MONTH(Postup!$H$25)=12,YEAR(Postup!$H$25)=$K$61),Provozování!O38,IF(YEAR(Postup!$H$25)=$K$61,Provozování!$BL38,0)))</f>
        <v>0</v>
      </c>
      <c r="L76" s="158">
        <f>IF(YEAR(Postup!$H$25)&gt;$K$61,Provozování!P38,IF(AND(DAY(Postup!$H$25)=31,MONTH(Postup!$H$25)=12,YEAR(Postup!$H$25)=$K$61),Provozování!P38,IF(YEAR(Postup!$H$25)=$K$61,Provozování!$BM38,0)))</f>
        <v>0</v>
      </c>
      <c r="M76" s="164">
        <f>IF(Provozování!$Q$16="Neaktivní",0,Provozování!Q38)</f>
        <v>0</v>
      </c>
      <c r="N76" s="158">
        <f>IF(Provozování!$Q$16="Neaktivní",0,Provozování!R38)</f>
        <v>0</v>
      </c>
      <c r="O76" s="164">
        <f>IF(YEAR(Postup!$H$25)&gt;$O$61,Provozování!T38,IF(AND(DAY(Postup!$H$25)=31,MONTH(Postup!$H$25)=12,YEAR(Postup!$H$25)=$O$61),Provozování!T38,IF(YEAR(Postup!$H$25)=$O$61,Provozování!$BL38,0)))</f>
        <v>0</v>
      </c>
      <c r="P76" s="158">
        <f>IF(YEAR(Postup!$H$25)&gt;$O$61,Provozování!U38,IF(AND(DAY(Postup!$H$25)=31,MONTH(Postup!$H$25)=12,YEAR(Postup!$H$25)=$O$61),Provozování!U38,IF(YEAR(Postup!$H$25)=$O$61,Provozování!$BM38,0)))</f>
        <v>0</v>
      </c>
      <c r="Q76" s="164">
        <f>IF(Provozování!$V$16="Neaktivní",0,Provozování!V38)</f>
        <v>0</v>
      </c>
      <c r="R76" s="158">
        <f>IF(Provozování!$V$16="Neaktivní",0,Provozování!W38)</f>
        <v>0</v>
      </c>
      <c r="S76" s="164">
        <f>IF(YEAR(Postup!$H$25)&gt;$S$61,Provozování!Y38,IF(AND(DAY(Postup!$H$25)=31,MONTH(Postup!$H$25)=12,YEAR(Postup!$H$25)=$S$61),Provozování!Y38,IF(YEAR(Postup!$H$25)=$S$61,Provozování!$BL38,0)))</f>
        <v>0</v>
      </c>
      <c r="T76" s="158">
        <f>IF(YEAR(Postup!$H$25)&gt;$S$61,Provozování!Z38,IF(AND(DAY(Postup!$H$25)=31,MONTH(Postup!$H$25)=12,YEAR(Postup!$H$25)=$S$61),Provozování!Z38,IF(YEAR(Postup!$H$25)=$S$61,Provozování!$BM38,0)))</f>
        <v>0</v>
      </c>
      <c r="U76" s="164">
        <f>IF(Provozování!$AA$16="Neaktivní",0,Provozování!AA38)</f>
        <v>0</v>
      </c>
      <c r="V76" s="158">
        <f>IF(Provozování!$AA$16="Neaktivní",0,Provozování!AB38)</f>
        <v>0</v>
      </c>
      <c r="W76" s="164">
        <f>IF(YEAR(Postup!$H$25)&gt;$W$61,Provozování!AD38,IF(AND(DAY(Postup!$H$25)=31,MONTH(Postup!$H$25)=12,YEAR(Postup!$H$25)=$W$61),Provozování!AD38,IF(YEAR(Postup!$H$25)=$W$61,Provozování!$BL38,0)))</f>
        <v>0</v>
      </c>
      <c r="X76" s="158">
        <f>IF(YEAR(Postup!$H$25)&gt;$W$61,Provozování!AE38,IF(AND(DAY(Postup!$H$25)=31,MONTH(Postup!$H$25)=12,YEAR(Postup!$H$25)=$W$61),Provozování!AE38,IF(YEAR(Postup!$H$25)=$W$61,Provozování!$BM38,0)))</f>
        <v>0</v>
      </c>
      <c r="Y76" s="164">
        <f>IF(Provozování!$AF$16="Neaktivní",0,Provozování!AF38)</f>
        <v>0</v>
      </c>
      <c r="Z76" s="158">
        <f>IF(Provozování!$AF$16="Neaktivní",0,Provozování!AG38)</f>
        <v>0</v>
      </c>
      <c r="AA76" s="164">
        <f>IF(YEAR(Postup!$H$25)&gt;$AA$61,Provozování!AI38,IF(AND(DAY(Postup!$H$25)=31,MONTH(Postup!$H$25)=12,YEAR(Postup!$H$25)=$AA$61),Provozování!AI38,IF(YEAR(Postup!$H$25)=$AA$61,Provozování!$BL38,0)))</f>
        <v>0</v>
      </c>
      <c r="AB76" s="158">
        <f>IF(YEAR(Postup!$H$25)&gt;$AA$61,Provozování!AJ38,IF(AND(DAY(Postup!$H$25)=31,MONTH(Postup!$H$25)=12,YEAR(Postup!$H$25)=$AA$61),Provozování!AJ38,IF(YEAR(Postup!$H$25)=$AA$61,Provozování!$BM38,0)))</f>
        <v>0</v>
      </c>
      <c r="AC76" s="164">
        <f>IF(Provozování!$AK$16="Neaktivní",0,Provozování!AK38)</f>
        <v>0</v>
      </c>
      <c r="AD76" s="158">
        <f>IF(Provozování!$AK$16="Neaktivní",0,Provozování!AL38)</f>
        <v>0</v>
      </c>
      <c r="AE76" s="164">
        <f>IF(YEAR(Postup!$H$25)&gt;$AE$61,Provozování!AN38,IF(AND(DAY(Postup!$H$25)=31,MONTH(Postup!$H$25)=12,YEAR(Postup!$H$25)=$AE$61),Provozování!AN38,IF(YEAR(Postup!$H$25)=$AE$61,Provozování!$BL38,0)))</f>
        <v>0</v>
      </c>
      <c r="AF76" s="158">
        <f>IF(YEAR(Postup!$H$25)&gt;$AE$61,Provozování!AO38,IF(AND(DAY(Postup!$H$25)=31,MONTH(Postup!$H$25)=12,YEAR(Postup!$H$25)=$AE$61),Provozování!AO38,IF(YEAR(Postup!$H$25)=$AE$61,Provozování!$BM38,0)))</f>
        <v>0</v>
      </c>
      <c r="AG76" s="164">
        <f>IF(Provozování!$AP$16="Neaktivní",0,Provozování!AP38)</f>
        <v>0</v>
      </c>
      <c r="AH76" s="158">
        <f>IF(Provozování!$AP$16="Neaktivní",0,Provozování!AQ38)</f>
        <v>0</v>
      </c>
      <c r="AI76" s="164">
        <f>IF(YEAR(Postup!$H$25)&gt;$AI$61,Provozování!AS38,IF(AND(DAY(Postup!$H$25)=31,MONTH(Postup!$H$25)=12,YEAR(Postup!$H$25)=$AI$61),Provozování!AS38,IF(YEAR(Postup!$H$25)=$AI$61,Provozování!$BL38,0)))</f>
        <v>0</v>
      </c>
      <c r="AJ76" s="158">
        <f>IF(YEAR(Postup!$H$25)&gt;$AI$61,Provozování!AT38,IF(AND(DAY(Postup!$H$25)=31,MONTH(Postup!$H$25)=12,YEAR(Postup!$H$25)=$AI$61),Provozování!AT38,IF(YEAR(Postup!$H$25)=$AI$61,Provozování!$BM38,0)))</f>
        <v>0</v>
      </c>
      <c r="AK76" s="164">
        <f>IF(Provozování!$AU$16="Neaktivní",0,Provozování!AU38)</f>
        <v>0</v>
      </c>
      <c r="AL76" s="158">
        <f>IF(Provozování!$AU$16="Neaktivní",0,Provozování!AV38)</f>
        <v>0</v>
      </c>
      <c r="AM76" s="164">
        <f>IF(YEAR(Postup!$H$25)&gt;$AM$61,Provozování!AX38,IF(AND(DAY(Postup!$H$25)=31,MONTH(Postup!$H$25)=12,YEAR(Postup!$H$25)=$AM$61),Provozování!AX38,IF(YEAR(Postup!$H$25)=$AM$61,Provozování!$BL38,0)))</f>
        <v>0</v>
      </c>
      <c r="AN76" s="158">
        <f>IF(YEAR(Postup!$H$25)&gt;$AM$61,Provozování!AY38,IF(AND(DAY(Postup!$H$25)=31,MONTH(Postup!$H$25)=12,YEAR(Postup!$H$25)=$AM$61),Provozování!AY38,IF(YEAR(Postup!$H$25)=$AM$61,Provozování!$BM38,0)))</f>
        <v>0</v>
      </c>
      <c r="AO76" s="164">
        <f>IF(Provozování!$AZ$16="Neaktivní",0,Provozování!AZ38)</f>
        <v>0</v>
      </c>
      <c r="AP76" s="158">
        <f>IF(Provozování!$AZ$16="Neaktivní",0,Provozování!BA38)</f>
        <v>0</v>
      </c>
      <c r="AQ76" s="164">
        <f>IF(YEAR(Postup!$H$25)&gt;$AQ$61,Provozování!BC38,IF(AND(DAY(Postup!$H$25)=31,MONTH(Postup!$H$25)=12,YEAR(Postup!$H$25)=$AQ$61),Provozování!BC38,IF(YEAR(Postup!$H$25)=$AQ$61,Provozování!$BL38,0)))</f>
        <v>0</v>
      </c>
      <c r="AR76" s="158">
        <f>IF(YEAR(Postup!$H$25)&gt;$AM$61,Provozování!BD38,IF(AND(DAY(Postup!$H$25)=31,MONTH(Postup!$H$25)=12,YEAR(Postup!$H$25)=$AM$61),Provozování!BD38,IF(YEAR(Postup!$H$25)=$AM$61,Provozování!$BM38,0)))</f>
        <v>0</v>
      </c>
      <c r="AS76" s="164">
        <f>IF(Provozování!$BE$16="Neaktivní",0,Provozování!BE38)</f>
        <v>0</v>
      </c>
      <c r="AT76" s="158">
        <f>IF(Provozování!$BE$16="Neaktivní",0,Provozování!BF38)</f>
        <v>0</v>
      </c>
      <c r="AU76" s="164">
        <f>IF(YEAR(Postup!$H$25)&gt;$AU$61,Provozování!BH38,IF(AND(DAY(Postup!$H$25)=31,MONTH(Postup!$H$25)=12,YEAR(Postup!$H$25)=$AU$61),Provozování!BH38,IF(YEAR(Postup!$H$25)=$AU$61,Provozování!$BL38,0)))</f>
        <v>0</v>
      </c>
      <c r="AV76" s="158">
        <f>IF(YEAR(Postup!$H$25)&gt;$AU$61,Provozování!BI38,IF(AND(DAY(Postup!$H$25)=31,MONTH(Postup!$H$25)=12,YEAR(Postup!$H$25)=$AU$61),Provozování!BI38,IF(YEAR(Postup!$H$25)=$AU$61,Provozování!$BM38,0)))</f>
        <v>0</v>
      </c>
      <c r="AW76" s="164">
        <f>IF(Provozování!$BJ$16="Neaktivní",0,Provozování!BJ38)</f>
        <v>0</v>
      </c>
      <c r="AX76" s="158">
        <f>IF(Provozování!$BJ$16="Neaktivní",0,Provozování!BK38)</f>
        <v>0</v>
      </c>
    </row>
    <row r="77" spans="1:50" hidden="1" x14ac:dyDescent="0.25">
      <c r="A77" s="33"/>
      <c r="C77" s="13"/>
      <c r="D77" s="457"/>
      <c r="E77" s="457"/>
      <c r="F77" s="3"/>
      <c r="G77" s="164">
        <f>IF(AND(DAY(Postup!$H$24)=1,MONTH(Postup!$H$24)=1),Provozování!E39,Provozování!G39)</f>
        <v>0</v>
      </c>
      <c r="H77" s="158">
        <f>IF(AND(DAY(Postup!$H$24)=1,MONTH(Postup!$H$24)=1),Provozování!F39,Provozování!H39)</f>
        <v>0</v>
      </c>
      <c r="I77" s="164">
        <f>IF(Provozování!$I$16="Neaktivní",0,Provozování!I39)</f>
        <v>0</v>
      </c>
      <c r="J77" s="158">
        <f>IF(Provozování!$I$16="Neaktivní",0,Provozování!J39)</f>
        <v>0</v>
      </c>
      <c r="K77" s="164">
        <f>IF(YEAR(Postup!$H$25)&gt;$K$61,Provozování!O39,IF(AND(DAY(Postup!$H$25)=31,MONTH(Postup!$H$25)=12,YEAR(Postup!$H$25)=$K$61),Provozování!O39,IF(YEAR(Postup!$H$25)=$K$61,Provozování!$BL39,0)))</f>
        <v>0</v>
      </c>
      <c r="L77" s="158">
        <f>IF(YEAR(Postup!$H$25)&gt;$K$61,Provozování!P39,IF(AND(DAY(Postup!$H$25)=31,MONTH(Postup!$H$25)=12,YEAR(Postup!$H$25)=$K$61),Provozování!P39,IF(YEAR(Postup!$H$25)=$K$61,Provozování!$BM39,0)))</f>
        <v>0</v>
      </c>
      <c r="M77" s="164">
        <f>IF(Provozování!$Q$16="Neaktivní",0,Provozování!Q39)</f>
        <v>0</v>
      </c>
      <c r="N77" s="158">
        <f>IF(Provozování!$Q$16="Neaktivní",0,Provozování!R39)</f>
        <v>0</v>
      </c>
      <c r="O77" s="164">
        <f>IF(YEAR(Postup!$H$25)&gt;$O$61,Provozování!T39,IF(AND(DAY(Postup!$H$25)=31,MONTH(Postup!$H$25)=12,YEAR(Postup!$H$25)=$O$61),Provozování!T39,IF(YEAR(Postup!$H$25)=$O$61,Provozování!$BL39,0)))</f>
        <v>0</v>
      </c>
      <c r="P77" s="158">
        <f>IF(YEAR(Postup!$H$25)&gt;$O$61,Provozování!U39,IF(AND(DAY(Postup!$H$25)=31,MONTH(Postup!$H$25)=12,YEAR(Postup!$H$25)=$O$61),Provozování!U39,IF(YEAR(Postup!$H$25)=$O$61,Provozování!$BM39,0)))</f>
        <v>0</v>
      </c>
      <c r="Q77" s="164">
        <f>IF(Provozování!$V$16="Neaktivní",0,Provozování!V39)</f>
        <v>0</v>
      </c>
      <c r="R77" s="158">
        <f>IF(Provozování!$V$16="Neaktivní",0,Provozování!W39)</f>
        <v>0</v>
      </c>
      <c r="S77" s="164">
        <f>IF(YEAR(Postup!$H$25)&gt;$S$61,Provozování!Y39,IF(AND(DAY(Postup!$H$25)=31,MONTH(Postup!$H$25)=12,YEAR(Postup!$H$25)=$S$61),Provozování!Y39,IF(YEAR(Postup!$H$25)=$S$61,Provozování!$BL39,0)))</f>
        <v>0</v>
      </c>
      <c r="T77" s="158">
        <f>IF(YEAR(Postup!$H$25)&gt;$S$61,Provozování!Z39,IF(AND(DAY(Postup!$H$25)=31,MONTH(Postup!$H$25)=12,YEAR(Postup!$H$25)=$S$61),Provozování!Z39,IF(YEAR(Postup!$H$25)=$S$61,Provozování!$BM39,0)))</f>
        <v>0</v>
      </c>
      <c r="U77" s="164">
        <f>IF(Provozování!$AA$16="Neaktivní",0,Provozování!AA39)</f>
        <v>0</v>
      </c>
      <c r="V77" s="158">
        <f>IF(Provozování!$AA$16="Neaktivní",0,Provozování!AB39)</f>
        <v>0</v>
      </c>
      <c r="W77" s="164">
        <f>IF(YEAR(Postup!$H$25)&gt;$W$61,Provozování!AD39,IF(AND(DAY(Postup!$H$25)=31,MONTH(Postup!$H$25)=12,YEAR(Postup!$H$25)=$W$61),Provozování!AD39,IF(YEAR(Postup!$H$25)=$W$61,Provozování!$BL39,0)))</f>
        <v>0</v>
      </c>
      <c r="X77" s="158">
        <f>IF(YEAR(Postup!$H$25)&gt;$W$61,Provozování!AE39,IF(AND(DAY(Postup!$H$25)=31,MONTH(Postup!$H$25)=12,YEAR(Postup!$H$25)=$W$61),Provozování!AE39,IF(YEAR(Postup!$H$25)=$W$61,Provozování!$BM39,0)))</f>
        <v>0</v>
      </c>
      <c r="Y77" s="164">
        <f>IF(Provozování!$AF$16="Neaktivní",0,Provozování!AF39)</f>
        <v>0</v>
      </c>
      <c r="Z77" s="158">
        <f>IF(Provozování!$AF$16="Neaktivní",0,Provozování!AG39)</f>
        <v>0</v>
      </c>
      <c r="AA77" s="164">
        <f>IF(YEAR(Postup!$H$25)&gt;$AA$61,Provozování!AI39,IF(AND(DAY(Postup!$H$25)=31,MONTH(Postup!$H$25)=12,YEAR(Postup!$H$25)=$AA$61),Provozování!AI39,IF(YEAR(Postup!$H$25)=$AA$61,Provozování!$BL39,0)))</f>
        <v>0</v>
      </c>
      <c r="AB77" s="158">
        <f>IF(YEAR(Postup!$H$25)&gt;$AA$61,Provozování!AJ39,IF(AND(DAY(Postup!$H$25)=31,MONTH(Postup!$H$25)=12,YEAR(Postup!$H$25)=$AA$61),Provozování!AJ39,IF(YEAR(Postup!$H$25)=$AA$61,Provozování!$BM39,0)))</f>
        <v>0</v>
      </c>
      <c r="AC77" s="164">
        <f>IF(Provozování!$AK$16="Neaktivní",0,Provozování!AK39)</f>
        <v>0</v>
      </c>
      <c r="AD77" s="158">
        <f>IF(Provozování!$AK$16="Neaktivní",0,Provozování!AL39)</f>
        <v>0</v>
      </c>
      <c r="AE77" s="164">
        <f>IF(YEAR(Postup!$H$25)&gt;$AE$61,Provozování!AN39,IF(AND(DAY(Postup!$H$25)=31,MONTH(Postup!$H$25)=12,YEAR(Postup!$H$25)=$AE$61),Provozování!AN39,IF(YEAR(Postup!$H$25)=$AE$61,Provozování!$BL39,0)))</f>
        <v>0</v>
      </c>
      <c r="AF77" s="158">
        <f>IF(YEAR(Postup!$H$25)&gt;$AE$61,Provozování!AO39,IF(AND(DAY(Postup!$H$25)=31,MONTH(Postup!$H$25)=12,YEAR(Postup!$H$25)=$AE$61),Provozování!AO39,IF(YEAR(Postup!$H$25)=$AE$61,Provozování!$BM39,0)))</f>
        <v>0</v>
      </c>
      <c r="AG77" s="164">
        <f>IF(Provozování!$AP$16="Neaktivní",0,Provozování!AP39)</f>
        <v>0</v>
      </c>
      <c r="AH77" s="158">
        <f>IF(Provozování!$AP$16="Neaktivní",0,Provozování!AQ39)</f>
        <v>0</v>
      </c>
      <c r="AI77" s="164">
        <f>IF(YEAR(Postup!$H$25)&gt;$AI$61,Provozování!AS39,IF(AND(DAY(Postup!$H$25)=31,MONTH(Postup!$H$25)=12,YEAR(Postup!$H$25)=$AI$61),Provozování!AS39,IF(YEAR(Postup!$H$25)=$AI$61,Provozování!$BL39,0)))</f>
        <v>0</v>
      </c>
      <c r="AJ77" s="158">
        <f>IF(YEAR(Postup!$H$25)&gt;$AI$61,Provozování!AT39,IF(AND(DAY(Postup!$H$25)=31,MONTH(Postup!$H$25)=12,YEAR(Postup!$H$25)=$AI$61),Provozování!AT39,IF(YEAR(Postup!$H$25)=$AI$61,Provozování!$BM39,0)))</f>
        <v>0</v>
      </c>
      <c r="AK77" s="164">
        <f>IF(Provozování!$AU$16="Neaktivní",0,Provozování!AU39)</f>
        <v>0</v>
      </c>
      <c r="AL77" s="158">
        <f>IF(Provozování!$AU$16="Neaktivní",0,Provozování!AV39)</f>
        <v>0</v>
      </c>
      <c r="AM77" s="164">
        <f>IF(YEAR(Postup!$H$25)&gt;$AM$61,Provozování!AX39,IF(AND(DAY(Postup!$H$25)=31,MONTH(Postup!$H$25)=12,YEAR(Postup!$H$25)=$AM$61),Provozování!AX39,IF(YEAR(Postup!$H$25)=$AM$61,Provozování!$BL39,0)))</f>
        <v>0</v>
      </c>
      <c r="AN77" s="158">
        <f>IF(YEAR(Postup!$H$25)&gt;$AM$61,Provozování!AY39,IF(AND(DAY(Postup!$H$25)=31,MONTH(Postup!$H$25)=12,YEAR(Postup!$H$25)=$AM$61),Provozování!AY39,IF(YEAR(Postup!$H$25)=$AM$61,Provozování!$BM39,0)))</f>
        <v>0</v>
      </c>
      <c r="AO77" s="164">
        <f>IF(Provozování!$AZ$16="Neaktivní",0,Provozování!AZ39)</f>
        <v>0</v>
      </c>
      <c r="AP77" s="158">
        <f>IF(Provozování!$AZ$16="Neaktivní",0,Provozování!BA39)</f>
        <v>0</v>
      </c>
      <c r="AQ77" s="164">
        <f>IF(YEAR(Postup!$H$25)&gt;$AQ$61,Provozování!BC39,IF(AND(DAY(Postup!$H$25)=31,MONTH(Postup!$H$25)=12,YEAR(Postup!$H$25)=$AQ$61),Provozování!BC39,IF(YEAR(Postup!$H$25)=$AQ$61,Provozování!$BL39,0)))</f>
        <v>0</v>
      </c>
      <c r="AR77" s="158">
        <f>IF(YEAR(Postup!$H$25)&gt;$AM$61,Provozování!BD39,IF(AND(DAY(Postup!$H$25)=31,MONTH(Postup!$H$25)=12,YEAR(Postup!$H$25)=$AM$61),Provozování!BD39,IF(YEAR(Postup!$H$25)=$AM$61,Provozování!$BM39,0)))</f>
        <v>0</v>
      </c>
      <c r="AS77" s="164">
        <f>IF(Provozování!$BE$16="Neaktivní",0,Provozování!BE39)</f>
        <v>0</v>
      </c>
      <c r="AT77" s="158">
        <f>IF(Provozování!$BE$16="Neaktivní",0,Provozování!BF39)</f>
        <v>0</v>
      </c>
      <c r="AU77" s="164">
        <f>IF(YEAR(Postup!$H$25)&gt;$AU$61,Provozování!BH39,IF(AND(DAY(Postup!$H$25)=31,MONTH(Postup!$H$25)=12,YEAR(Postup!$H$25)=$AU$61),Provozování!BH39,IF(YEAR(Postup!$H$25)=$AU$61,Provozování!$BL39,0)))</f>
        <v>0</v>
      </c>
      <c r="AV77" s="158">
        <f>IF(YEAR(Postup!$H$25)&gt;$AU$61,Provozování!BI39,IF(AND(DAY(Postup!$H$25)=31,MONTH(Postup!$H$25)=12,YEAR(Postup!$H$25)=$AU$61),Provozování!BI39,IF(YEAR(Postup!$H$25)=$AU$61,Provozování!$BM39,0)))</f>
        <v>0</v>
      </c>
      <c r="AW77" s="164">
        <f>IF(Provozování!$BJ$16="Neaktivní",0,Provozování!BJ39)</f>
        <v>0</v>
      </c>
      <c r="AX77" s="158">
        <f>IF(Provozování!$BJ$16="Neaktivní",0,Provozování!BK39)</f>
        <v>0</v>
      </c>
    </row>
    <row r="78" spans="1:50" x14ac:dyDescent="0.25">
      <c r="A78" s="33"/>
      <c r="B78" s="12" t="s">
        <v>45</v>
      </c>
      <c r="C78" s="919" t="s">
        <v>46</v>
      </c>
      <c r="D78" s="919"/>
      <c r="E78" s="919"/>
      <c r="F78" s="3" t="s">
        <v>10</v>
      </c>
      <c r="G78" s="164">
        <f>IF(AND(DAY(Postup!$H$24)=1,MONTH(Postup!$H$24)=1),Provozování!E40,Provozování!G40)</f>
        <v>0</v>
      </c>
      <c r="H78" s="158">
        <f>IF(AND(DAY(Postup!$H$24)=1,MONTH(Postup!$H$24)=1),Provozování!F40,Provozování!H40)</f>
        <v>0</v>
      </c>
      <c r="I78" s="164">
        <f>IF(Provozování!$I$16="Neaktivní",0,Provozování!I40)</f>
        <v>0</v>
      </c>
      <c r="J78" s="158">
        <f>IF(Provozování!$I$16="Neaktivní",0,Provozování!J40)</f>
        <v>0</v>
      </c>
      <c r="K78" s="164">
        <f>IF(YEAR(Postup!$H$25)&gt;$K$61,Provozování!O40,IF(AND(DAY(Postup!$H$25)=31,MONTH(Postup!$H$25)=12,YEAR(Postup!$H$25)=$K$61),Provozování!O40,IF(YEAR(Postup!$H$25)=$K$61,Provozování!$BL40,0)))</f>
        <v>0</v>
      </c>
      <c r="L78" s="158">
        <f>IF(YEAR(Postup!$H$25)&gt;$K$61,Provozování!P40,IF(AND(DAY(Postup!$H$25)=31,MONTH(Postup!$H$25)=12,YEAR(Postup!$H$25)=$K$61),Provozování!P40,IF(YEAR(Postup!$H$25)=$K$61,Provozování!$BM40,0)))</f>
        <v>0</v>
      </c>
      <c r="M78" s="164">
        <f>IF(Provozování!$Q$16="Neaktivní",0,Provozování!Q40)</f>
        <v>0</v>
      </c>
      <c r="N78" s="158">
        <f>IF(Provozování!$Q$16="Neaktivní",0,Provozování!R40)</f>
        <v>0</v>
      </c>
      <c r="O78" s="164">
        <f>IF(YEAR(Postup!$H$25)&gt;$O$61,Provozování!T40,IF(AND(DAY(Postup!$H$25)=31,MONTH(Postup!$H$25)=12,YEAR(Postup!$H$25)=$O$61),Provozování!T40,IF(YEAR(Postup!$H$25)=$O$61,Provozování!$BL40,0)))</f>
        <v>0</v>
      </c>
      <c r="P78" s="158">
        <f>IF(YEAR(Postup!$H$25)&gt;$O$61,Provozování!U40,IF(AND(DAY(Postup!$H$25)=31,MONTH(Postup!$H$25)=12,YEAR(Postup!$H$25)=$O$61),Provozování!U40,IF(YEAR(Postup!$H$25)=$O$61,Provozování!$BM40,0)))</f>
        <v>0</v>
      </c>
      <c r="Q78" s="164">
        <f>IF(Provozování!$V$16="Neaktivní",0,Provozování!V40)</f>
        <v>0</v>
      </c>
      <c r="R78" s="158">
        <f>IF(Provozování!$V$16="Neaktivní",0,Provozování!W40)</f>
        <v>0</v>
      </c>
      <c r="S78" s="164">
        <f>IF(YEAR(Postup!$H$25)&gt;$S$61,Provozování!Y40,IF(AND(DAY(Postup!$H$25)=31,MONTH(Postup!$H$25)=12,YEAR(Postup!$H$25)=$S$61),Provozování!Y40,IF(YEAR(Postup!$H$25)=$S$61,Provozování!$BL40,0)))</f>
        <v>0</v>
      </c>
      <c r="T78" s="158">
        <f>IF(YEAR(Postup!$H$25)&gt;$S$61,Provozování!Z40,IF(AND(DAY(Postup!$H$25)=31,MONTH(Postup!$H$25)=12,YEAR(Postup!$H$25)=$S$61),Provozování!Z40,IF(YEAR(Postup!$H$25)=$S$61,Provozování!$BM40,0)))</f>
        <v>0</v>
      </c>
      <c r="U78" s="164">
        <f>IF(Provozování!$AA$16="Neaktivní",0,Provozování!AA40)</f>
        <v>0</v>
      </c>
      <c r="V78" s="158">
        <f>IF(Provozování!$AA$16="Neaktivní",0,Provozování!AB40)</f>
        <v>0</v>
      </c>
      <c r="W78" s="164">
        <f>IF(YEAR(Postup!$H$25)&gt;$W$61,Provozování!AD40,IF(AND(DAY(Postup!$H$25)=31,MONTH(Postup!$H$25)=12,YEAR(Postup!$H$25)=$W$61),Provozování!AD40,IF(YEAR(Postup!$H$25)=$W$61,Provozování!$BL40,0)))</f>
        <v>0</v>
      </c>
      <c r="X78" s="158">
        <f>IF(YEAR(Postup!$H$25)&gt;$W$61,Provozování!AE40,IF(AND(DAY(Postup!$H$25)=31,MONTH(Postup!$H$25)=12,YEAR(Postup!$H$25)=$W$61),Provozování!AE40,IF(YEAR(Postup!$H$25)=$W$61,Provozování!$BM40,0)))</f>
        <v>0</v>
      </c>
      <c r="Y78" s="164">
        <f>IF(Provozování!$AF$16="Neaktivní",0,Provozování!AF40)</f>
        <v>0</v>
      </c>
      <c r="Z78" s="158">
        <f>IF(Provozování!$AF$16="Neaktivní",0,Provozování!AG40)</f>
        <v>0</v>
      </c>
      <c r="AA78" s="164">
        <f>IF(YEAR(Postup!$H$25)&gt;$AA$61,Provozování!AI40,IF(AND(DAY(Postup!$H$25)=31,MONTH(Postup!$H$25)=12,YEAR(Postup!$H$25)=$AA$61),Provozování!AI40,IF(YEAR(Postup!$H$25)=$AA$61,Provozování!$BL40,0)))</f>
        <v>0</v>
      </c>
      <c r="AB78" s="158">
        <f>IF(YEAR(Postup!$H$25)&gt;$AA$61,Provozování!AJ40,IF(AND(DAY(Postup!$H$25)=31,MONTH(Postup!$H$25)=12,YEAR(Postup!$H$25)=$AA$61),Provozování!AJ40,IF(YEAR(Postup!$H$25)=$AA$61,Provozování!$BM40,0)))</f>
        <v>0</v>
      </c>
      <c r="AC78" s="164">
        <f>IF(Provozování!$AK$16="Neaktivní",0,Provozování!AK40)</f>
        <v>0</v>
      </c>
      <c r="AD78" s="158">
        <f>IF(Provozování!$AK$16="Neaktivní",0,Provozování!AL40)</f>
        <v>0</v>
      </c>
      <c r="AE78" s="164">
        <f>IF(YEAR(Postup!$H$25)&gt;$AE$61,Provozování!AN40,IF(AND(DAY(Postup!$H$25)=31,MONTH(Postup!$H$25)=12,YEAR(Postup!$H$25)=$AE$61),Provozování!AN40,IF(YEAR(Postup!$H$25)=$AE$61,Provozování!$BL40,0)))</f>
        <v>0</v>
      </c>
      <c r="AF78" s="158">
        <f>IF(YEAR(Postup!$H$25)&gt;$AE$61,Provozování!AO40,IF(AND(DAY(Postup!$H$25)=31,MONTH(Postup!$H$25)=12,YEAR(Postup!$H$25)=$AE$61),Provozování!AO40,IF(YEAR(Postup!$H$25)=$AE$61,Provozování!$BM40,0)))</f>
        <v>0</v>
      </c>
      <c r="AG78" s="164">
        <f>IF(Provozování!$AP$16="Neaktivní",0,Provozování!AP40)</f>
        <v>0</v>
      </c>
      <c r="AH78" s="158">
        <f>IF(Provozování!$AP$16="Neaktivní",0,Provozování!AQ40)</f>
        <v>0</v>
      </c>
      <c r="AI78" s="164">
        <f>IF(YEAR(Postup!$H$25)&gt;$AI$61,Provozování!AS40,IF(AND(DAY(Postup!$H$25)=31,MONTH(Postup!$H$25)=12,YEAR(Postup!$H$25)=$AI$61),Provozování!AS40,IF(YEAR(Postup!$H$25)=$AI$61,Provozování!$BL40,0)))</f>
        <v>0</v>
      </c>
      <c r="AJ78" s="158">
        <f>IF(YEAR(Postup!$H$25)&gt;$AI$61,Provozování!AT40,IF(AND(DAY(Postup!$H$25)=31,MONTH(Postup!$H$25)=12,YEAR(Postup!$H$25)=$AI$61),Provozování!AT40,IF(YEAR(Postup!$H$25)=$AI$61,Provozování!$BM40,0)))</f>
        <v>0</v>
      </c>
      <c r="AK78" s="164">
        <f>IF(Provozování!$AU$16="Neaktivní",0,Provozování!AU40)</f>
        <v>0</v>
      </c>
      <c r="AL78" s="158">
        <f>IF(Provozování!$AU$16="Neaktivní",0,Provozování!AV40)</f>
        <v>0</v>
      </c>
      <c r="AM78" s="164">
        <f>IF(YEAR(Postup!$H$25)&gt;$AM$61,Provozování!AX40,IF(AND(DAY(Postup!$H$25)=31,MONTH(Postup!$H$25)=12,YEAR(Postup!$H$25)=$AM$61),Provozování!AX40,IF(YEAR(Postup!$H$25)=$AM$61,Provozování!$BL40,0)))</f>
        <v>0</v>
      </c>
      <c r="AN78" s="158">
        <f>IF(YEAR(Postup!$H$25)&gt;$AM$61,Provozování!AY40,IF(AND(DAY(Postup!$H$25)=31,MONTH(Postup!$H$25)=12,YEAR(Postup!$H$25)=$AM$61),Provozování!AY40,IF(YEAR(Postup!$H$25)=$AM$61,Provozování!$BM40,0)))</f>
        <v>0</v>
      </c>
      <c r="AO78" s="164">
        <f>IF(Provozování!$AZ$16="Neaktivní",0,Provozování!AZ40)</f>
        <v>0</v>
      </c>
      <c r="AP78" s="158">
        <f>IF(Provozování!$AZ$16="Neaktivní",0,Provozování!BA40)</f>
        <v>0</v>
      </c>
      <c r="AQ78" s="164">
        <f>IF(YEAR(Postup!$H$25)&gt;$AQ$61,Provozování!BC40,IF(AND(DAY(Postup!$H$25)=31,MONTH(Postup!$H$25)=12,YEAR(Postup!$H$25)=$AQ$61),Provozování!BC40,IF(YEAR(Postup!$H$25)=$AQ$61,Provozování!$BL40,0)))</f>
        <v>0</v>
      </c>
      <c r="AR78" s="158">
        <f>IF(YEAR(Postup!$H$25)&gt;$AM$61,Provozování!BD40,IF(AND(DAY(Postup!$H$25)=31,MONTH(Postup!$H$25)=12,YEAR(Postup!$H$25)=$AM$61),Provozování!BD40,IF(YEAR(Postup!$H$25)=$AM$61,Provozování!$BM40,0)))</f>
        <v>0</v>
      </c>
      <c r="AS78" s="164">
        <f>IF(Provozování!$BE$16="Neaktivní",0,Provozování!BE40)</f>
        <v>0</v>
      </c>
      <c r="AT78" s="158">
        <f>IF(Provozování!$BE$16="Neaktivní",0,Provozování!BF40)</f>
        <v>0</v>
      </c>
      <c r="AU78" s="164">
        <f>IF(YEAR(Postup!$H$25)&gt;$AU$61,Provozování!BH40,IF(AND(DAY(Postup!$H$25)=31,MONTH(Postup!$H$25)=12,YEAR(Postup!$H$25)=$AU$61),Provozování!BH40,IF(YEAR(Postup!$H$25)=$AU$61,Provozování!$BL40,0)))</f>
        <v>0</v>
      </c>
      <c r="AV78" s="158">
        <f>IF(YEAR(Postup!$H$25)&gt;$AU$61,Provozování!BI40,IF(AND(DAY(Postup!$H$25)=31,MONTH(Postup!$H$25)=12,YEAR(Postup!$H$25)=$AU$61),Provozování!BI40,IF(YEAR(Postup!$H$25)=$AU$61,Provozování!$BM40,0)))</f>
        <v>0</v>
      </c>
      <c r="AW78" s="164">
        <f>IF(Provozování!$BJ$16="Neaktivní",0,Provozování!BJ40)</f>
        <v>0</v>
      </c>
      <c r="AX78" s="158">
        <f>IF(Provozování!$BJ$16="Neaktivní",0,Provozování!BK40)</f>
        <v>0</v>
      </c>
    </row>
    <row r="79" spans="1:50" x14ac:dyDescent="0.25">
      <c r="A79" s="33"/>
      <c r="B79" s="12" t="s">
        <v>47</v>
      </c>
      <c r="C79" s="919" t="s">
        <v>48</v>
      </c>
      <c r="D79" s="919"/>
      <c r="E79" s="919"/>
      <c r="F79" s="3" t="s">
        <v>10</v>
      </c>
      <c r="G79" s="164">
        <f>IF(AND(DAY(Postup!$H$24)=1,MONTH(Postup!$H$24)=1),Provozování!E41,Provozování!G41)</f>
        <v>0</v>
      </c>
      <c r="H79" s="158">
        <f>IF(AND(DAY(Postup!$H$24)=1,MONTH(Postup!$H$24)=1),Provozování!F41,Provozování!H41)</f>
        <v>0</v>
      </c>
      <c r="I79" s="164">
        <f>IF(Provozování!$I$16="Neaktivní",0,Provozování!I41)</f>
        <v>0</v>
      </c>
      <c r="J79" s="158">
        <f>IF(Provozování!$I$16="Neaktivní",0,Provozování!J41)</f>
        <v>0</v>
      </c>
      <c r="K79" s="164">
        <f>IF(YEAR(Postup!$H$25)&gt;$K$61,Provozování!O41,IF(AND(DAY(Postup!$H$25)=31,MONTH(Postup!$H$25)=12,YEAR(Postup!$H$25)=$K$61),Provozování!O41,IF(YEAR(Postup!$H$25)=$K$61,Provozování!$BL41,0)))</f>
        <v>0</v>
      </c>
      <c r="L79" s="158">
        <f>IF(YEAR(Postup!$H$25)&gt;$K$61,Provozování!P41,IF(AND(DAY(Postup!$H$25)=31,MONTH(Postup!$H$25)=12,YEAR(Postup!$H$25)=$K$61),Provozování!P41,IF(YEAR(Postup!$H$25)=$K$61,Provozování!$BM41,0)))</f>
        <v>0</v>
      </c>
      <c r="M79" s="164">
        <f>IF(Provozování!$Q$16="Neaktivní",0,Provozování!Q41)</f>
        <v>0</v>
      </c>
      <c r="N79" s="158">
        <f>IF(Provozování!$Q$16="Neaktivní",0,Provozování!R41)</f>
        <v>0</v>
      </c>
      <c r="O79" s="164">
        <f>IF(YEAR(Postup!$H$25)&gt;$O$61,Provozování!T41,IF(AND(DAY(Postup!$H$25)=31,MONTH(Postup!$H$25)=12,YEAR(Postup!$H$25)=$O$61),Provozování!T41,IF(YEAR(Postup!$H$25)=$O$61,Provozování!$BL41,0)))</f>
        <v>0</v>
      </c>
      <c r="P79" s="158">
        <f>IF(YEAR(Postup!$H$25)&gt;$O$61,Provozování!U41,IF(AND(DAY(Postup!$H$25)=31,MONTH(Postup!$H$25)=12,YEAR(Postup!$H$25)=$O$61),Provozování!U41,IF(YEAR(Postup!$H$25)=$O$61,Provozování!$BM41,0)))</f>
        <v>0</v>
      </c>
      <c r="Q79" s="164">
        <f>IF(Provozování!$V$16="Neaktivní",0,Provozování!V41)</f>
        <v>0</v>
      </c>
      <c r="R79" s="158">
        <f>IF(Provozování!$V$16="Neaktivní",0,Provozování!W41)</f>
        <v>0</v>
      </c>
      <c r="S79" s="164">
        <f>IF(YEAR(Postup!$H$25)&gt;$S$61,Provozování!Y41,IF(AND(DAY(Postup!$H$25)=31,MONTH(Postup!$H$25)=12,YEAR(Postup!$H$25)=$S$61),Provozování!Y41,IF(YEAR(Postup!$H$25)=$S$61,Provozování!$BL41,0)))</f>
        <v>0</v>
      </c>
      <c r="T79" s="158">
        <f>IF(YEAR(Postup!$H$25)&gt;$S$61,Provozování!Z41,IF(AND(DAY(Postup!$H$25)=31,MONTH(Postup!$H$25)=12,YEAR(Postup!$H$25)=$S$61),Provozování!Z41,IF(YEAR(Postup!$H$25)=$S$61,Provozování!$BM41,0)))</f>
        <v>0</v>
      </c>
      <c r="U79" s="164">
        <f>IF(Provozování!$AA$16="Neaktivní",0,Provozování!AA41)</f>
        <v>0</v>
      </c>
      <c r="V79" s="158">
        <f>IF(Provozování!$AA$16="Neaktivní",0,Provozování!AB41)</f>
        <v>0</v>
      </c>
      <c r="W79" s="164">
        <f>IF(YEAR(Postup!$H$25)&gt;$W$61,Provozování!AD41,IF(AND(DAY(Postup!$H$25)=31,MONTH(Postup!$H$25)=12,YEAR(Postup!$H$25)=$W$61),Provozování!AD41,IF(YEAR(Postup!$H$25)=$W$61,Provozování!$BL41,0)))</f>
        <v>0</v>
      </c>
      <c r="X79" s="158">
        <f>IF(YEAR(Postup!$H$25)&gt;$W$61,Provozování!AE41,IF(AND(DAY(Postup!$H$25)=31,MONTH(Postup!$H$25)=12,YEAR(Postup!$H$25)=$W$61),Provozování!AE41,IF(YEAR(Postup!$H$25)=$W$61,Provozování!$BM41,0)))</f>
        <v>0</v>
      </c>
      <c r="Y79" s="164">
        <f>IF(Provozování!$AF$16="Neaktivní",0,Provozování!AF41)</f>
        <v>0</v>
      </c>
      <c r="Z79" s="158">
        <f>IF(Provozování!$AF$16="Neaktivní",0,Provozování!AG41)</f>
        <v>0</v>
      </c>
      <c r="AA79" s="164">
        <f>IF(YEAR(Postup!$H$25)&gt;$AA$61,Provozování!AI41,IF(AND(DAY(Postup!$H$25)=31,MONTH(Postup!$H$25)=12,YEAR(Postup!$H$25)=$AA$61),Provozování!AI41,IF(YEAR(Postup!$H$25)=$AA$61,Provozování!$BL41,0)))</f>
        <v>0</v>
      </c>
      <c r="AB79" s="158">
        <f>IF(YEAR(Postup!$H$25)&gt;$AA$61,Provozování!AJ41,IF(AND(DAY(Postup!$H$25)=31,MONTH(Postup!$H$25)=12,YEAR(Postup!$H$25)=$AA$61),Provozování!AJ41,IF(YEAR(Postup!$H$25)=$AA$61,Provozování!$BM41,0)))</f>
        <v>0</v>
      </c>
      <c r="AC79" s="164">
        <f>IF(Provozování!$AK$16="Neaktivní",0,Provozování!AK41)</f>
        <v>0</v>
      </c>
      <c r="AD79" s="158">
        <f>IF(Provozování!$AK$16="Neaktivní",0,Provozování!AL41)</f>
        <v>0</v>
      </c>
      <c r="AE79" s="164">
        <f>IF(YEAR(Postup!$H$25)&gt;$AE$61,Provozování!AN41,IF(AND(DAY(Postup!$H$25)=31,MONTH(Postup!$H$25)=12,YEAR(Postup!$H$25)=$AE$61),Provozování!AN41,IF(YEAR(Postup!$H$25)=$AE$61,Provozování!$BL41,0)))</f>
        <v>0</v>
      </c>
      <c r="AF79" s="158">
        <f>IF(YEAR(Postup!$H$25)&gt;$AE$61,Provozování!AO41,IF(AND(DAY(Postup!$H$25)=31,MONTH(Postup!$H$25)=12,YEAR(Postup!$H$25)=$AE$61),Provozování!AO41,IF(YEAR(Postup!$H$25)=$AE$61,Provozování!$BM41,0)))</f>
        <v>0</v>
      </c>
      <c r="AG79" s="164">
        <f>IF(Provozování!$AP$16="Neaktivní",0,Provozování!AP41)</f>
        <v>0</v>
      </c>
      <c r="AH79" s="158">
        <f>IF(Provozování!$AP$16="Neaktivní",0,Provozování!AQ41)</f>
        <v>0</v>
      </c>
      <c r="AI79" s="164">
        <f>IF(YEAR(Postup!$H$25)&gt;$AI$61,Provozování!AS41,IF(AND(DAY(Postup!$H$25)=31,MONTH(Postup!$H$25)=12,YEAR(Postup!$H$25)=$AI$61),Provozování!AS41,IF(YEAR(Postup!$H$25)=$AI$61,Provozování!$BL41,0)))</f>
        <v>0</v>
      </c>
      <c r="AJ79" s="158">
        <f>IF(YEAR(Postup!$H$25)&gt;$AI$61,Provozování!AT41,IF(AND(DAY(Postup!$H$25)=31,MONTH(Postup!$H$25)=12,YEAR(Postup!$H$25)=$AI$61),Provozování!AT41,IF(YEAR(Postup!$H$25)=$AI$61,Provozování!$BM41,0)))</f>
        <v>0</v>
      </c>
      <c r="AK79" s="164">
        <f>IF(Provozování!$AU$16="Neaktivní",0,Provozování!AU41)</f>
        <v>0</v>
      </c>
      <c r="AL79" s="158">
        <f>IF(Provozování!$AU$16="Neaktivní",0,Provozování!AV41)</f>
        <v>0</v>
      </c>
      <c r="AM79" s="164">
        <f>IF(YEAR(Postup!$H$25)&gt;$AM$61,Provozování!AX41,IF(AND(DAY(Postup!$H$25)=31,MONTH(Postup!$H$25)=12,YEAR(Postup!$H$25)=$AM$61),Provozování!AX41,IF(YEAR(Postup!$H$25)=$AM$61,Provozování!$BL41,0)))</f>
        <v>0</v>
      </c>
      <c r="AN79" s="158">
        <f>IF(YEAR(Postup!$H$25)&gt;$AM$61,Provozování!AY41,IF(AND(DAY(Postup!$H$25)=31,MONTH(Postup!$H$25)=12,YEAR(Postup!$H$25)=$AM$61),Provozování!AY41,IF(YEAR(Postup!$H$25)=$AM$61,Provozování!$BM41,0)))</f>
        <v>0</v>
      </c>
      <c r="AO79" s="164">
        <f>IF(Provozování!$AZ$16="Neaktivní",0,Provozování!AZ41)</f>
        <v>0</v>
      </c>
      <c r="AP79" s="158">
        <f>IF(Provozování!$AZ$16="Neaktivní",0,Provozování!BA41)</f>
        <v>0</v>
      </c>
      <c r="AQ79" s="164">
        <f>IF(YEAR(Postup!$H$25)&gt;$AQ$61,Provozování!BC41,IF(AND(DAY(Postup!$H$25)=31,MONTH(Postup!$H$25)=12,YEAR(Postup!$H$25)=$AQ$61),Provozování!BC41,IF(YEAR(Postup!$H$25)=$AQ$61,Provozování!$BL41,0)))</f>
        <v>0</v>
      </c>
      <c r="AR79" s="158">
        <f>IF(YEAR(Postup!$H$25)&gt;$AM$61,Provozování!BD41,IF(AND(DAY(Postup!$H$25)=31,MONTH(Postup!$H$25)=12,YEAR(Postup!$H$25)=$AM$61),Provozování!BD41,IF(YEAR(Postup!$H$25)=$AM$61,Provozování!$BM41,0)))</f>
        <v>0</v>
      </c>
      <c r="AS79" s="164">
        <f>IF(Provozování!$BE$16="Neaktivní",0,Provozování!BE41)</f>
        <v>0</v>
      </c>
      <c r="AT79" s="158">
        <f>IF(Provozování!$BE$16="Neaktivní",0,Provozování!BF41)</f>
        <v>0</v>
      </c>
      <c r="AU79" s="164">
        <f>IF(YEAR(Postup!$H$25)&gt;$AU$61,Provozování!BH41,IF(AND(DAY(Postup!$H$25)=31,MONTH(Postup!$H$25)=12,YEAR(Postup!$H$25)=$AU$61),Provozování!BH41,IF(YEAR(Postup!$H$25)=$AU$61,Provozování!$BL41,0)))</f>
        <v>0</v>
      </c>
      <c r="AV79" s="158">
        <f>IF(YEAR(Postup!$H$25)&gt;$AU$61,Provozování!BI41,IF(AND(DAY(Postup!$H$25)=31,MONTH(Postup!$H$25)=12,YEAR(Postup!$H$25)=$AU$61),Provozování!BI41,IF(YEAR(Postup!$H$25)=$AU$61,Provozování!$BM41,0)))</f>
        <v>0</v>
      </c>
      <c r="AW79" s="164">
        <f>IF(Provozování!$BJ$16="Neaktivní",0,Provozování!BJ41)</f>
        <v>0</v>
      </c>
      <c r="AX79" s="158">
        <f>IF(Provozování!$BJ$16="Neaktivní",0,Provozování!BK41)</f>
        <v>0</v>
      </c>
    </row>
    <row r="80" spans="1:50" x14ac:dyDescent="0.25">
      <c r="A80" s="33"/>
      <c r="B80" s="12" t="s">
        <v>49</v>
      </c>
      <c r="C80" s="919" t="s">
        <v>50</v>
      </c>
      <c r="D80" s="919"/>
      <c r="E80" s="919"/>
      <c r="F80" s="3" t="s">
        <v>10</v>
      </c>
      <c r="G80" s="164">
        <f>IF(AND(DAY(Postup!$H$24)=1,MONTH(Postup!$H$24)=1),Provozování!E42,Provozování!G42)</f>
        <v>0</v>
      </c>
      <c r="H80" s="158">
        <f>IF(AND(DAY(Postup!$H$24)=1,MONTH(Postup!$H$24)=1),Provozování!F42,Provozování!H42)</f>
        <v>0</v>
      </c>
      <c r="I80" s="164">
        <f>IF(Provozování!$I$16="Neaktivní",0,Provozování!I42)</f>
        <v>0</v>
      </c>
      <c r="J80" s="158">
        <f>IF(Provozování!$I$16="Neaktivní",0,Provozování!J42)</f>
        <v>0</v>
      </c>
      <c r="K80" s="164">
        <f>IF(YEAR(Postup!$H$25)&gt;$K$61,Provozování!O42,IF(AND(DAY(Postup!$H$25)=31,MONTH(Postup!$H$25)=12,YEAR(Postup!$H$25)=$K$61),Provozování!O42,IF(YEAR(Postup!$H$25)=$K$61,Provozování!$BL42,0)))</f>
        <v>0</v>
      </c>
      <c r="L80" s="158">
        <f>IF(YEAR(Postup!$H$25)&gt;$K$61,Provozování!P42,IF(AND(DAY(Postup!$H$25)=31,MONTH(Postup!$H$25)=12,YEAR(Postup!$H$25)=$K$61),Provozování!P42,IF(YEAR(Postup!$H$25)=$K$61,Provozování!$BM42,0)))</f>
        <v>0</v>
      </c>
      <c r="M80" s="164">
        <f>IF(Provozování!$Q$16="Neaktivní",0,Provozování!Q42)</f>
        <v>0</v>
      </c>
      <c r="N80" s="158">
        <f>IF(Provozování!$Q$16="Neaktivní",0,Provozování!R42)</f>
        <v>0</v>
      </c>
      <c r="O80" s="164">
        <f>IF(YEAR(Postup!$H$25)&gt;$O$61,Provozování!T42,IF(AND(DAY(Postup!$H$25)=31,MONTH(Postup!$H$25)=12,YEAR(Postup!$H$25)=$O$61),Provozování!T42,IF(YEAR(Postup!$H$25)=$O$61,Provozování!$BL42,0)))</f>
        <v>0</v>
      </c>
      <c r="P80" s="158">
        <f>IF(YEAR(Postup!$H$25)&gt;$O$61,Provozování!U42,IF(AND(DAY(Postup!$H$25)=31,MONTH(Postup!$H$25)=12,YEAR(Postup!$H$25)=$O$61),Provozování!U42,IF(YEAR(Postup!$H$25)=$O$61,Provozování!$BM42,0)))</f>
        <v>0</v>
      </c>
      <c r="Q80" s="164">
        <f>IF(Provozování!$V$16="Neaktivní",0,Provozování!V42)</f>
        <v>0</v>
      </c>
      <c r="R80" s="158">
        <f>IF(Provozování!$V$16="Neaktivní",0,Provozování!W42)</f>
        <v>0</v>
      </c>
      <c r="S80" s="164">
        <f>IF(YEAR(Postup!$H$25)&gt;$S$61,Provozování!Y42,IF(AND(DAY(Postup!$H$25)=31,MONTH(Postup!$H$25)=12,YEAR(Postup!$H$25)=$S$61),Provozování!Y42,IF(YEAR(Postup!$H$25)=$S$61,Provozování!$BL42,0)))</f>
        <v>0</v>
      </c>
      <c r="T80" s="158">
        <f>IF(YEAR(Postup!$H$25)&gt;$S$61,Provozování!Z42,IF(AND(DAY(Postup!$H$25)=31,MONTH(Postup!$H$25)=12,YEAR(Postup!$H$25)=$S$61),Provozování!Z42,IF(YEAR(Postup!$H$25)=$S$61,Provozování!$BM42,0)))</f>
        <v>0</v>
      </c>
      <c r="U80" s="164">
        <f>IF(Provozování!$AA$16="Neaktivní",0,Provozování!AA42)</f>
        <v>0</v>
      </c>
      <c r="V80" s="158">
        <f>IF(Provozování!$AA$16="Neaktivní",0,Provozování!AB42)</f>
        <v>0</v>
      </c>
      <c r="W80" s="164">
        <f>IF(YEAR(Postup!$H$25)&gt;$W$61,Provozování!AD42,IF(AND(DAY(Postup!$H$25)=31,MONTH(Postup!$H$25)=12,YEAR(Postup!$H$25)=$W$61),Provozování!AD42,IF(YEAR(Postup!$H$25)=$W$61,Provozování!$BL42,0)))</f>
        <v>0</v>
      </c>
      <c r="X80" s="158">
        <f>IF(YEAR(Postup!$H$25)&gt;$W$61,Provozování!AE42,IF(AND(DAY(Postup!$H$25)=31,MONTH(Postup!$H$25)=12,YEAR(Postup!$H$25)=$W$61),Provozování!AE42,IF(YEAR(Postup!$H$25)=$W$61,Provozování!$BM42,0)))</f>
        <v>0</v>
      </c>
      <c r="Y80" s="164">
        <f>IF(Provozování!$AF$16="Neaktivní",0,Provozování!AF42)</f>
        <v>0</v>
      </c>
      <c r="Z80" s="158">
        <f>IF(Provozování!$AF$16="Neaktivní",0,Provozování!AG42)</f>
        <v>0</v>
      </c>
      <c r="AA80" s="164">
        <f>IF(YEAR(Postup!$H$25)&gt;$AA$61,Provozování!AI42,IF(AND(DAY(Postup!$H$25)=31,MONTH(Postup!$H$25)=12,YEAR(Postup!$H$25)=$AA$61),Provozování!AI42,IF(YEAR(Postup!$H$25)=$AA$61,Provozování!$BL42,0)))</f>
        <v>0</v>
      </c>
      <c r="AB80" s="158">
        <f>IF(YEAR(Postup!$H$25)&gt;$AA$61,Provozování!AJ42,IF(AND(DAY(Postup!$H$25)=31,MONTH(Postup!$H$25)=12,YEAR(Postup!$H$25)=$AA$61),Provozování!AJ42,IF(YEAR(Postup!$H$25)=$AA$61,Provozování!$BM42,0)))</f>
        <v>0</v>
      </c>
      <c r="AC80" s="164">
        <f>IF(Provozování!$AK$16="Neaktivní",0,Provozování!AK42)</f>
        <v>0</v>
      </c>
      <c r="AD80" s="158">
        <f>IF(Provozování!$AK$16="Neaktivní",0,Provozování!AL42)</f>
        <v>0</v>
      </c>
      <c r="AE80" s="164">
        <f>IF(YEAR(Postup!$H$25)&gt;$AE$61,Provozování!AN42,IF(AND(DAY(Postup!$H$25)=31,MONTH(Postup!$H$25)=12,YEAR(Postup!$H$25)=$AE$61),Provozování!AN42,IF(YEAR(Postup!$H$25)=$AE$61,Provozování!$BL42,0)))</f>
        <v>0</v>
      </c>
      <c r="AF80" s="158">
        <f>IF(YEAR(Postup!$H$25)&gt;$AE$61,Provozování!AO42,IF(AND(DAY(Postup!$H$25)=31,MONTH(Postup!$H$25)=12,YEAR(Postup!$H$25)=$AE$61),Provozování!AO42,IF(YEAR(Postup!$H$25)=$AE$61,Provozování!$BM42,0)))</f>
        <v>0</v>
      </c>
      <c r="AG80" s="164">
        <f>IF(Provozování!$AP$16="Neaktivní",0,Provozování!AP42)</f>
        <v>0</v>
      </c>
      <c r="AH80" s="158">
        <f>IF(Provozování!$AP$16="Neaktivní",0,Provozování!AQ42)</f>
        <v>0</v>
      </c>
      <c r="AI80" s="164">
        <f>IF(YEAR(Postup!$H$25)&gt;$AI$61,Provozování!AS42,IF(AND(DAY(Postup!$H$25)=31,MONTH(Postup!$H$25)=12,YEAR(Postup!$H$25)=$AI$61),Provozování!AS42,IF(YEAR(Postup!$H$25)=$AI$61,Provozování!$BL42,0)))</f>
        <v>0</v>
      </c>
      <c r="AJ80" s="158">
        <f>IF(YEAR(Postup!$H$25)&gt;$AI$61,Provozování!AT42,IF(AND(DAY(Postup!$H$25)=31,MONTH(Postup!$H$25)=12,YEAR(Postup!$H$25)=$AI$61),Provozování!AT42,IF(YEAR(Postup!$H$25)=$AI$61,Provozování!$BM42,0)))</f>
        <v>0</v>
      </c>
      <c r="AK80" s="164">
        <f>IF(Provozování!$AU$16="Neaktivní",0,Provozování!AU42)</f>
        <v>0</v>
      </c>
      <c r="AL80" s="158">
        <f>IF(Provozování!$AU$16="Neaktivní",0,Provozování!AV42)</f>
        <v>0</v>
      </c>
      <c r="AM80" s="164">
        <f>IF(YEAR(Postup!$H$25)&gt;$AM$61,Provozování!AX42,IF(AND(DAY(Postup!$H$25)=31,MONTH(Postup!$H$25)=12,YEAR(Postup!$H$25)=$AM$61),Provozování!AX42,IF(YEAR(Postup!$H$25)=$AM$61,Provozování!$BL42,0)))</f>
        <v>0</v>
      </c>
      <c r="AN80" s="158">
        <f>IF(YEAR(Postup!$H$25)&gt;$AM$61,Provozování!AY42,IF(AND(DAY(Postup!$H$25)=31,MONTH(Postup!$H$25)=12,YEAR(Postup!$H$25)=$AM$61),Provozování!AY42,IF(YEAR(Postup!$H$25)=$AM$61,Provozování!$BM42,0)))</f>
        <v>0</v>
      </c>
      <c r="AO80" s="164">
        <f>IF(Provozování!$AZ$16="Neaktivní",0,Provozování!AZ42)</f>
        <v>0</v>
      </c>
      <c r="AP80" s="158">
        <f>IF(Provozování!$AZ$16="Neaktivní",0,Provozování!BA42)</f>
        <v>0</v>
      </c>
      <c r="AQ80" s="164">
        <f>IF(YEAR(Postup!$H$25)&gt;$AQ$61,Provozování!BC42,IF(AND(DAY(Postup!$H$25)=31,MONTH(Postup!$H$25)=12,YEAR(Postup!$H$25)=$AQ$61),Provozování!BC42,IF(YEAR(Postup!$H$25)=$AQ$61,Provozování!$BL42,0)))</f>
        <v>0</v>
      </c>
      <c r="AR80" s="158">
        <f>IF(YEAR(Postup!$H$25)&gt;$AM$61,Provozování!BD42,IF(AND(DAY(Postup!$H$25)=31,MONTH(Postup!$H$25)=12,YEAR(Postup!$H$25)=$AM$61),Provozování!BD42,IF(YEAR(Postup!$H$25)=$AM$61,Provozování!$BM42,0)))</f>
        <v>0</v>
      </c>
      <c r="AS80" s="164">
        <f>IF(Provozování!$BE$16="Neaktivní",0,Provozování!BE42)</f>
        <v>0</v>
      </c>
      <c r="AT80" s="158">
        <f>IF(Provozování!$BE$16="Neaktivní",0,Provozování!BF42)</f>
        <v>0</v>
      </c>
      <c r="AU80" s="164">
        <f>IF(YEAR(Postup!$H$25)&gt;$AU$61,Provozování!BH42,IF(AND(DAY(Postup!$H$25)=31,MONTH(Postup!$H$25)=12,YEAR(Postup!$H$25)=$AU$61),Provozování!BH42,IF(YEAR(Postup!$H$25)=$AU$61,Provozování!$BL42,0)))</f>
        <v>0</v>
      </c>
      <c r="AV80" s="158">
        <f>IF(YEAR(Postup!$H$25)&gt;$AU$61,Provozování!BI42,IF(AND(DAY(Postup!$H$25)=31,MONTH(Postup!$H$25)=12,YEAR(Postup!$H$25)=$AU$61),Provozování!BI42,IF(YEAR(Postup!$H$25)=$AU$61,Provozování!$BM42,0)))</f>
        <v>0</v>
      </c>
      <c r="AW80" s="164">
        <f>IF(Provozování!$BJ$16="Neaktivní",0,Provozování!BJ42)</f>
        <v>0</v>
      </c>
      <c r="AX80" s="158">
        <f>IF(Provozování!$BJ$16="Neaktivní",0,Provozování!BK42)</f>
        <v>0</v>
      </c>
    </row>
    <row r="81" spans="1:50" x14ac:dyDescent="0.25">
      <c r="A81" s="33"/>
      <c r="B81" s="12" t="s">
        <v>51</v>
      </c>
      <c r="C81" s="919" t="s">
        <v>52</v>
      </c>
      <c r="D81" s="919"/>
      <c r="E81" s="919"/>
      <c r="F81" s="3" t="s">
        <v>10</v>
      </c>
      <c r="G81" s="164">
        <f>IF(AND(DAY(Postup!$H$24)=1,MONTH(Postup!$H$24)=1),Provozování!E43-Provozování!E$97,Provozování!G43-Provozování!E$97)</f>
        <v>0</v>
      </c>
      <c r="H81" s="158">
        <f>IF(AND(DAY(Postup!$H$24)=1,MONTH(Postup!$H$24)=1),Provozování!F43-Provozování!F$97,Provozování!H43-Provozování!F$97)</f>
        <v>0</v>
      </c>
      <c r="I81" s="164">
        <f>IF(Provozování!$I$16="Neaktivní",0,Provozování!I43-Provozování!E$97*H53)</f>
        <v>0</v>
      </c>
      <c r="J81" s="158">
        <f>IF(Provozování!$I$16="Neaktivní",0,Provozování!J43-Provozování!F$97*H53)</f>
        <v>0</v>
      </c>
      <c r="K81" s="164">
        <f>IF(YEAR(Postup!$H$25)&gt;$K$61,Provozování!O43-Provozování!O97,IF(AND(DAY(Postup!$H$25)=31,MONTH(Postup!$H$25)=12,YEAR(Postup!$H$25)=$K$61),Provozování!O43-Provozování!O97,IF(YEAR(Postup!$H$25)=$K$61,Provozování!$BL43-Provozování!O97,0)))</f>
        <v>0</v>
      </c>
      <c r="L81" s="158">
        <f>IF(YEAR(Postup!$H$25)&gt;$K$61,Provozování!P43-Provozování!P97,IF(AND(DAY(Postup!$H$25)=31,MONTH(Postup!$H$25)=12,YEAR(Postup!$H$25)=$K$61),Provozování!P43-Provozování!P97,IF(YEAR(Postup!$H$25)=$K$61,Provozování!$BM43-Provozování!P97,0)))</f>
        <v>0</v>
      </c>
      <c r="M81" s="164">
        <f>IF(Provozování!$Q$16="Neaktivní",0,Provozování!Q43-Provozování!O97*I53)</f>
        <v>0</v>
      </c>
      <c r="N81" s="158">
        <f>IF(Provozování!$Q$16="Neaktivní",0,Provozování!R43-Provozování!P97*I53)</f>
        <v>0</v>
      </c>
      <c r="O81" s="164">
        <f>IF(YEAR(Postup!$H$25)&gt;$O$61,Provozování!T43-Provozování!T97,IF(AND(DAY(Postup!$H$25)=31,MONTH(Postup!$H$25)=12,YEAR(Postup!$H$25)=$O$61),Provozování!T43-Provozování!T97,IF(YEAR(Postup!$H$25)=$O$61,Provozování!$BL43-Provozování!T97,0)))</f>
        <v>0</v>
      </c>
      <c r="P81" s="158">
        <f ca="1">IF(YEAR(Postup!$H$25)&gt;$O$61,Provozování!U43-Provozování!U97,IF(AND(DAY(Postup!$H$25)=31,MONTH(Postup!$H$25)=12,YEAR(Postup!$H$25)=$O$61),Provozování!U43-Provozování!U97,IF(YEAR(Postup!$H$25)=$O$61,Provozování!$BM43-Provozování!U97,0)))</f>
        <v>0</v>
      </c>
      <c r="Q81" s="164">
        <f>IF(Provozování!$V$16="Neaktivní",0,Provozování!V43-Provozování!T97*J53)</f>
        <v>0</v>
      </c>
      <c r="R81" s="158">
        <f>IF(Provozování!$V$16="Neaktivní",0,Provozování!W43-Provozování!U97*J53)</f>
        <v>0</v>
      </c>
      <c r="S81" s="164">
        <f>IF(YEAR(Postup!$H$25)&gt;$S$61,Provozování!Y43-Provozování!Y97,IF(AND(DAY(Postup!$H$25)=31,MONTH(Postup!$H$25)=12,YEAR(Postup!$H$25)=$S$61),Provozování!Y43-Provozování!Y97,IF(YEAR(Postup!$H$25)=$S$61,Provozování!$BL43-Provozování!Y97,0)))</f>
        <v>0</v>
      </c>
      <c r="T81" s="158">
        <f ca="1">IF(YEAR(Postup!$H$25)&gt;$S$61,Provozování!Z43-Provozování!Z97,IF(AND(DAY(Postup!$H$25)=31,MONTH(Postup!$H$25)=12,YEAR(Postup!$H$25)=$S$61),Provozování!Z43-Provozování!Z97,IF(YEAR(Postup!$H$25)=$S$61,Provozování!$BM43-Provozování!Z97,0)))</f>
        <v>0</v>
      </c>
      <c r="U81" s="164">
        <f>IF(Provozování!$AA$16="Neaktivní",0,Provozování!AA43-Provozování!Y97*K53)</f>
        <v>0</v>
      </c>
      <c r="V81" s="158">
        <f>IF(Provozování!$AA$16="Neaktivní",0,Provozování!AB43-Provozování!Z97*K53)</f>
        <v>0</v>
      </c>
      <c r="W81" s="164">
        <f>IF(YEAR(Postup!$H$25)&gt;$W$61,Provozování!AD43-Provozování!AD97,IF(AND(DAY(Postup!$H$25)=31,MONTH(Postup!$H$25)=12,YEAR(Postup!$H$25)=$W$61),Provozování!AD43-Provozování!AD97,IF(YEAR(Postup!$H$25)=$W$61,Provozování!$BL43-Provozování!AD97,0)))</f>
        <v>0</v>
      </c>
      <c r="X81" s="158">
        <f ca="1">IF(YEAR(Postup!$H$25)&gt;$W$61,Provozování!AE43-Provozování!AE97,IF(AND(DAY(Postup!$H$25)=31,MONTH(Postup!$H$25)=12,YEAR(Postup!$H$25)=$W$61),Provozování!AE43-Provozování!AE97,IF(YEAR(Postup!$H$25)=$W$61,Provozování!$BM43-Provozování!AE97,0)))</f>
        <v>0</v>
      </c>
      <c r="Y81" s="164">
        <f>IF(Provozování!$AF$16="Neaktivní",0,Provozování!AF43-Provozování!AD97*L53)</f>
        <v>0</v>
      </c>
      <c r="Z81" s="158">
        <f>IF(Provozování!$AF$16="Neaktivní",0,Provozování!AG43-Provozování!AE97*L53)</f>
        <v>0</v>
      </c>
      <c r="AA81" s="164">
        <f>IF(YEAR(Postup!$H$25)&gt;$AA$61,Provozování!AI43-Provozování!AI97,IF(AND(DAY(Postup!$H$25)=31,MONTH(Postup!$H$25)=12,YEAR(Postup!$H$25)=$AA$61),Provozování!AI43-Provozování!AI97,IF(YEAR(Postup!$H$25)=$AA$61,Provozování!$BL43-Provozování!AI97,0)))</f>
        <v>0</v>
      </c>
      <c r="AB81" s="158">
        <f>IF(YEAR(Postup!$H$25)&gt;$AA$61,Provozování!AJ43-Provozování!AJ97,IF(AND(DAY(Postup!$H$25)=31,MONTH(Postup!$H$25)=12,YEAR(Postup!$H$25)=$AA$61),Provozování!AJ43-Provozování!AJ97,IF(YEAR(Postup!$H$25)=$AA$61,Provozování!$BM43-Provozování!AJ97,0)))</f>
        <v>0</v>
      </c>
      <c r="AC81" s="164">
        <f>IF(Provozování!$AK$16="Neaktivní",0,Provozování!AK43-Provozování!AI97*M53)</f>
        <v>0</v>
      </c>
      <c r="AD81" s="158">
        <f>IF(Provozování!$AK$16="Neaktivní",0,Provozování!AL43-Provozování!AJ97*M53)</f>
        <v>0</v>
      </c>
      <c r="AE81" s="164">
        <f>IF(YEAR(Postup!$H$25)&gt;$AE$61,Provozování!AN43-Provozování!AN97,IF(AND(DAY(Postup!$H$25)=31,MONTH(Postup!$H$25)=12,YEAR(Postup!$H$25)=$AE$61),Provozování!AN43-Provozování!AN97,IF(YEAR(Postup!$H$25)=$AE$61,Provozování!$BL43-Provozování!AN97,0)))</f>
        <v>0</v>
      </c>
      <c r="AF81" s="158">
        <f>IF(YEAR(Postup!$H$25)&gt;$AE$61,Provozování!AO43-Provozování!AO97,IF(AND(DAY(Postup!$H$25)=31,MONTH(Postup!$H$25)=12,YEAR(Postup!$H$25)=$AE$61),Provozování!AO43-Provozování!AO97,IF(YEAR(Postup!$H$25)=$AE$61,Provozování!$BM43-Provozování!AO97,0)))</f>
        <v>0</v>
      </c>
      <c r="AG81" s="164">
        <f>IF(Provozování!$AP$16="Neaktivní",0,Provozování!AP43-Provozování!AN97*N53)</f>
        <v>0</v>
      </c>
      <c r="AH81" s="158">
        <f>IF(Provozování!$AP$16="Neaktivní",0,Provozování!AQ43-Provozování!AO97*N53)</f>
        <v>0</v>
      </c>
      <c r="AI81" s="164">
        <f>IF(YEAR(Postup!$H$25)&gt;$AI$61,Provozování!AS43-Provozování!AS97,IF(AND(DAY(Postup!$H$25)=31,MONTH(Postup!$H$25)=12,YEAR(Postup!$H$25)=$AI$61),Provozování!AS43-Provozování!AS97,IF(YEAR(Postup!$H$25)=$AI$61,Provozování!$BL43-Provozování!AS97,0)))</f>
        <v>0</v>
      </c>
      <c r="AJ81" s="158">
        <f>IF(YEAR(Postup!$H$25)&gt;$AI$61,Provozování!AT43-Provozování!AT97,IF(AND(DAY(Postup!$H$25)=31,MONTH(Postup!$H$25)=12,YEAR(Postup!$H$25)=$AI$61),Provozování!AT43-Provozování!AT97,IF(YEAR(Postup!$H$25)=$AI$61,Provozování!$BM43-Provozování!AT97,0)))</f>
        <v>0</v>
      </c>
      <c r="AK81" s="164">
        <f>IF(Provozování!$AU$16="Neaktivní",0,Provozování!AU43-Provozování!AS97*O53)</f>
        <v>0</v>
      </c>
      <c r="AL81" s="158">
        <f>IF(Provozování!$AU$16="Neaktivní",0,Provozování!AV43-Provozování!AT97*O53)</f>
        <v>0</v>
      </c>
      <c r="AM81" s="164">
        <f>IF(YEAR(Postup!$H$25)&gt;$AM$61,Provozování!AX43-Provozování!AX97,IF(AND(DAY(Postup!$H$25)=31,MONTH(Postup!$H$25)=12,YEAR(Postup!$H$25)=$AM$61),Provozování!AX43-Provozování!AX97,IF(YEAR(Postup!$H$25)=$AM$61,Provozování!$BL43-Provozování!AX97,0)))</f>
        <v>0</v>
      </c>
      <c r="AN81" s="158">
        <f>IF(YEAR(Postup!$H$25)&gt;$AM$61,Provozování!AY43-Provozování!AY97,IF(AND(DAY(Postup!$H$25)=31,MONTH(Postup!$H$25)=12,YEAR(Postup!$H$25)=$AM$61),Provozování!AY43-Provozování!AY97,IF(YEAR(Postup!$H$25)=$AM$61,Provozování!$BM43-Provozování!AY97,0)))</f>
        <v>0</v>
      </c>
      <c r="AO81" s="164">
        <f>IF(Provozování!$AZ$16="Neaktivní",0,Provozování!AZ43-Provozování!AX97*P53)</f>
        <v>0</v>
      </c>
      <c r="AP81" s="158">
        <f>IF(Provozování!$AZ$16="Neaktivní",0,Provozování!BA43-Provozování!AY97*P53)</f>
        <v>0</v>
      </c>
      <c r="AQ81" s="164">
        <f>IF(YEAR(Postup!$H$25)&gt;$AQ$61,Provozování!BC43-Provozování!BC97,IF(AND(DAY(Postup!$H$25)=31,MONTH(Postup!$H$25)=12,YEAR(Postup!$H$25)=$AQ$61),Provozování!BC43-Provozování!BC97,IF(YEAR(Postup!$H$25)=$AQ$61,Provozování!$BL43-Provozování!BC97,0)))</f>
        <v>0</v>
      </c>
      <c r="AR81" s="158">
        <f>IF(YEAR(Postup!$H$25)&gt;$AM$61,Provozování!BD43-Provozování!BD97,IF(AND(DAY(Postup!$H$25)=31,MONTH(Postup!$H$25)=12,YEAR(Postup!$H$25)=$AM$61),Provozování!BD43-Provozování!BD97,IF(YEAR(Postup!$H$25)=$AM$61,Provozování!$BM43-Provozování!BD97,0)))</f>
        <v>0</v>
      </c>
      <c r="AS81" s="164">
        <f>IF(Provozování!$BE$16="Neaktivní",0,Provozování!BE43-Provozování!BC97*Q53)</f>
        <v>0</v>
      </c>
      <c r="AT81" s="158">
        <f>IF(Provozování!$BE$16="Neaktivní",0,Provozování!BF43-Provozování!BD97*Q53)</f>
        <v>0</v>
      </c>
      <c r="AU81" s="164">
        <f>IF(YEAR(Postup!$H$25)&gt;$AU$61,Provozování!BH43-Provozování!BH97,IF(AND(DAY(Postup!$H$25)=31,MONTH(Postup!$H$25)=12,YEAR(Postup!$H$25)=$AU$61),Provozování!BH43-Provozování!BH97,IF(YEAR(Postup!$H$25)=$AU$61,Provozování!$BL43-Provozování!BH97,0)))</f>
        <v>0</v>
      </c>
      <c r="AV81" s="158">
        <f>IF(YEAR(Postup!$H$25)&gt;$AU$61,Provozování!BI43-Provozování!BI97,IF(AND(DAY(Postup!$H$25)=31,MONTH(Postup!$H$25)=12,YEAR(Postup!$H$25)=$AU$61),Provozování!BI43-Provozování!BI97,IF(YEAR(Postup!$H$25)=$AU$61,Provozování!$BM43-Provozování!BI97,0)))</f>
        <v>0</v>
      </c>
      <c r="AW81" s="164">
        <f>IF(Provozování!$BJ$16="Neaktivní",0,Provozování!BJ43-Provozování!BH97*R53)</f>
        <v>0</v>
      </c>
      <c r="AX81" s="158">
        <f>IF(Provozování!$BJ$16="Neaktivní",0,Provozování!BK43-Provozování!BI97*R53)</f>
        <v>0</v>
      </c>
    </row>
    <row r="82" spans="1:50" x14ac:dyDescent="0.25">
      <c r="A82" s="33"/>
      <c r="B82" s="12" t="s">
        <v>53</v>
      </c>
      <c r="C82" s="919" t="s">
        <v>54</v>
      </c>
      <c r="D82" s="919"/>
      <c r="E82" s="919"/>
      <c r="F82" s="3" t="s">
        <v>10</v>
      </c>
      <c r="G82" s="164">
        <f>IF(AND(DAY(Postup!$H$24)=1,MONTH(Postup!$H$24)=1),Provozování!E44,Provozování!G44)</f>
        <v>0</v>
      </c>
      <c r="H82" s="158">
        <f>IF(AND(DAY(Postup!$H$24)=1,MONTH(Postup!$H$24)=1),Provozování!F44,Provozování!H44)</f>
        <v>0</v>
      </c>
      <c r="I82" s="164">
        <f>IF(Provozování!$I$16="Neaktivní",0,Provozování!I44)</f>
        <v>0</v>
      </c>
      <c r="J82" s="158">
        <f>IF(Provozování!$I$16="Neaktivní",0,Provozování!J44)</f>
        <v>0</v>
      </c>
      <c r="K82" s="164">
        <f>IF(YEAR(Postup!$H$25)&gt;$K$61,Provozování!O44,IF(AND(DAY(Postup!$H$25)=31,MONTH(Postup!$H$25)=12,YEAR(Postup!$H$25)=$K$61),Provozování!O44,IF(YEAR(Postup!$H$25)=$K$61,Provozování!$BL44,0)))</f>
        <v>0</v>
      </c>
      <c r="L82" s="158">
        <f>IF(YEAR(Postup!$H$25)&gt;$K$61,Provozování!P44,IF(AND(DAY(Postup!$H$25)=31,MONTH(Postup!$H$25)=12,YEAR(Postup!$H$25)=$K$61),Provozování!P44,IF(YEAR(Postup!$H$25)=$K$61,Provozování!$BM44,0)))</f>
        <v>0</v>
      </c>
      <c r="M82" s="164">
        <f>IF(Provozování!$Q$16="Neaktivní",0,Provozování!Q44)</f>
        <v>0</v>
      </c>
      <c r="N82" s="158">
        <f>IF(Provozování!$Q$16="Neaktivní",0,Provozování!R44)</f>
        <v>0</v>
      </c>
      <c r="O82" s="164">
        <f>IF(YEAR(Postup!$H$25)&gt;$O$61,Provozování!T44,IF(AND(DAY(Postup!$H$25)=31,MONTH(Postup!$H$25)=12,YEAR(Postup!$H$25)=$O$61),Provozování!T44,IF(YEAR(Postup!$H$25)=$O$61,Provozování!$BL44,0)))</f>
        <v>0</v>
      </c>
      <c r="P82" s="158">
        <f>IF(YEAR(Postup!$H$25)&gt;$O$61,Provozování!U44,IF(AND(DAY(Postup!$H$25)=31,MONTH(Postup!$H$25)=12,YEAR(Postup!$H$25)=$O$61),Provozování!U44,IF(YEAR(Postup!$H$25)=$O$61,Provozování!$BM44,0)))</f>
        <v>0</v>
      </c>
      <c r="Q82" s="164">
        <f>IF(Provozování!$V$16="Neaktivní",0,Provozování!V44)</f>
        <v>0</v>
      </c>
      <c r="R82" s="158">
        <f>IF(Provozování!$V$16="Neaktivní",0,Provozování!W44)</f>
        <v>0</v>
      </c>
      <c r="S82" s="164">
        <f>IF(YEAR(Postup!$H$25)&gt;$S$61,Provozování!Y44,IF(AND(DAY(Postup!$H$25)=31,MONTH(Postup!$H$25)=12,YEAR(Postup!$H$25)=$S$61),Provozování!Y44,IF(YEAR(Postup!$H$25)=$S$61,Provozování!$BL44,0)))</f>
        <v>0</v>
      </c>
      <c r="T82" s="158">
        <f>IF(YEAR(Postup!$H$25)&gt;$S$61,Provozování!Z44,IF(AND(DAY(Postup!$H$25)=31,MONTH(Postup!$H$25)=12,YEAR(Postup!$H$25)=$S$61),Provozování!Z44,IF(YEAR(Postup!$H$25)=$S$61,Provozování!$BM44,0)))</f>
        <v>0</v>
      </c>
      <c r="U82" s="164">
        <f>IF(Provozování!$AA$16="Neaktivní",0,Provozování!AA44)</f>
        <v>0</v>
      </c>
      <c r="V82" s="158">
        <f>IF(Provozování!$AA$16="Neaktivní",0,Provozování!AB44)</f>
        <v>0</v>
      </c>
      <c r="W82" s="164">
        <f>IF(YEAR(Postup!$H$25)&gt;$W$61,Provozování!AD44,IF(AND(DAY(Postup!$H$25)=31,MONTH(Postup!$H$25)=12,YEAR(Postup!$H$25)=$W$61),Provozování!AD44,IF(YEAR(Postup!$H$25)=$W$61,Provozování!$BL44,0)))</f>
        <v>0</v>
      </c>
      <c r="X82" s="158">
        <f>IF(YEAR(Postup!$H$25)&gt;$W$61,Provozování!AE44,IF(AND(DAY(Postup!$H$25)=31,MONTH(Postup!$H$25)=12,YEAR(Postup!$H$25)=$W$61),Provozování!AE44,IF(YEAR(Postup!$H$25)=$W$61,Provozování!$BM44,0)))</f>
        <v>0</v>
      </c>
      <c r="Y82" s="164">
        <f>IF(Provozování!$AF$16="Neaktivní",0,Provozování!AF44)</f>
        <v>0</v>
      </c>
      <c r="Z82" s="158">
        <f>IF(Provozování!$AF$16="Neaktivní",0,Provozování!AG44)</f>
        <v>0</v>
      </c>
      <c r="AA82" s="164">
        <f>IF(YEAR(Postup!$H$25)&gt;$AA$61,Provozování!AI44,IF(AND(DAY(Postup!$H$25)=31,MONTH(Postup!$H$25)=12,YEAR(Postup!$H$25)=$AA$61),Provozování!AI44,IF(YEAR(Postup!$H$25)=$AA$61,Provozování!$BL44,0)))</f>
        <v>0</v>
      </c>
      <c r="AB82" s="158">
        <f>IF(YEAR(Postup!$H$25)&gt;$AA$61,Provozování!AJ44,IF(AND(DAY(Postup!$H$25)=31,MONTH(Postup!$H$25)=12,YEAR(Postup!$H$25)=$AA$61),Provozování!AJ44,IF(YEAR(Postup!$H$25)=$AA$61,Provozování!$BM44,0)))</f>
        <v>0</v>
      </c>
      <c r="AC82" s="164">
        <f>IF(Provozování!$AK$16="Neaktivní",0,Provozování!AK44)</f>
        <v>0</v>
      </c>
      <c r="AD82" s="158">
        <f>IF(Provozování!$AK$16="Neaktivní",0,Provozování!AL44)</f>
        <v>0</v>
      </c>
      <c r="AE82" s="164">
        <f>IF(YEAR(Postup!$H$25)&gt;$AE$61,Provozování!AN44,IF(AND(DAY(Postup!$H$25)=31,MONTH(Postup!$H$25)=12,YEAR(Postup!$H$25)=$AE$61),Provozování!AN44,IF(YEAR(Postup!$H$25)=$AE$61,Provozování!$BL44,0)))</f>
        <v>0</v>
      </c>
      <c r="AF82" s="158">
        <f>IF(YEAR(Postup!$H$25)&gt;$AE$61,Provozování!AO44,IF(AND(DAY(Postup!$H$25)=31,MONTH(Postup!$H$25)=12,YEAR(Postup!$H$25)=$AE$61),Provozování!AO44,IF(YEAR(Postup!$H$25)=$AE$61,Provozování!$BM44,0)))</f>
        <v>0</v>
      </c>
      <c r="AG82" s="164">
        <f>IF(Provozování!$AP$16="Neaktivní",0,Provozování!AP44)</f>
        <v>0</v>
      </c>
      <c r="AH82" s="158">
        <f>IF(Provozování!$AP$16="Neaktivní",0,Provozování!AQ44)</f>
        <v>0</v>
      </c>
      <c r="AI82" s="164">
        <f>IF(YEAR(Postup!$H$25)&gt;$AI$61,Provozování!AS44,IF(AND(DAY(Postup!$H$25)=31,MONTH(Postup!$H$25)=12,YEAR(Postup!$H$25)=$AI$61),Provozování!AS44,IF(YEAR(Postup!$H$25)=$AI$61,Provozování!$BL44,0)))</f>
        <v>0</v>
      </c>
      <c r="AJ82" s="158">
        <f>IF(YEAR(Postup!$H$25)&gt;$AI$61,Provozování!AT44,IF(AND(DAY(Postup!$H$25)=31,MONTH(Postup!$H$25)=12,YEAR(Postup!$H$25)=$AI$61),Provozování!AT44,IF(YEAR(Postup!$H$25)=$AI$61,Provozování!$BM44,0)))</f>
        <v>0</v>
      </c>
      <c r="AK82" s="164">
        <f>IF(Provozování!$AU$16="Neaktivní",0,Provozování!AU44)</f>
        <v>0</v>
      </c>
      <c r="AL82" s="158">
        <f>IF(Provozování!$AU$16="Neaktivní",0,Provozování!AV44)</f>
        <v>0</v>
      </c>
      <c r="AM82" s="164">
        <f>IF(YEAR(Postup!$H$25)&gt;$AM$61,Provozování!AX44,IF(AND(DAY(Postup!$H$25)=31,MONTH(Postup!$H$25)=12,YEAR(Postup!$H$25)=$AM$61),Provozování!AX44,IF(YEAR(Postup!$H$25)=$AM$61,Provozování!$BL44,0)))</f>
        <v>0</v>
      </c>
      <c r="AN82" s="158">
        <f>IF(YEAR(Postup!$H$25)&gt;$AM$61,Provozování!AY44,IF(AND(DAY(Postup!$H$25)=31,MONTH(Postup!$H$25)=12,YEAR(Postup!$H$25)=$AM$61),Provozování!AY44,IF(YEAR(Postup!$H$25)=$AM$61,Provozování!$BM44,0)))</f>
        <v>0</v>
      </c>
      <c r="AO82" s="164">
        <f>IF(Provozování!$AZ$16="Neaktivní",0,Provozování!AZ44)</f>
        <v>0</v>
      </c>
      <c r="AP82" s="158">
        <f>IF(Provozování!$AZ$16="Neaktivní",0,Provozování!BA44)</f>
        <v>0</v>
      </c>
      <c r="AQ82" s="164">
        <f>IF(YEAR(Postup!$H$25)&gt;$AQ$61,Provozování!BC44,IF(AND(DAY(Postup!$H$25)=31,MONTH(Postup!$H$25)=12,YEAR(Postup!$H$25)=$AQ$61),Provozování!BC44,IF(YEAR(Postup!$H$25)=$AQ$61,Provozování!$BL44,0)))</f>
        <v>0</v>
      </c>
      <c r="AR82" s="158">
        <f>IF(YEAR(Postup!$H$25)&gt;$AM$61,Provozování!BD44,IF(AND(DAY(Postup!$H$25)=31,MONTH(Postup!$H$25)=12,YEAR(Postup!$H$25)=$AM$61),Provozování!BD44,IF(YEAR(Postup!$H$25)=$AM$61,Provozování!$BM44,0)))</f>
        <v>0</v>
      </c>
      <c r="AS82" s="164">
        <f>IF(Provozování!$BE$16="Neaktivní",0,Provozování!BE44)</f>
        <v>0</v>
      </c>
      <c r="AT82" s="158">
        <f>IF(Provozování!$BE$16="Neaktivní",0,Provozování!BF44)</f>
        <v>0</v>
      </c>
      <c r="AU82" s="164">
        <f>IF(YEAR(Postup!$H$25)&gt;$AU$61,Provozování!BH44,IF(AND(DAY(Postup!$H$25)=31,MONTH(Postup!$H$25)=12,YEAR(Postup!$H$25)=$AU$61),Provozování!BH44,IF(YEAR(Postup!$H$25)=$AU$61,Provozování!$BL44,0)))</f>
        <v>0</v>
      </c>
      <c r="AV82" s="158">
        <f>IF(YEAR(Postup!$H$25)&gt;$AU$61,Provozování!BI44,IF(AND(DAY(Postup!$H$25)=31,MONTH(Postup!$H$25)=12,YEAR(Postup!$H$25)=$AU$61),Provozování!BI44,IF(YEAR(Postup!$H$25)=$AU$61,Provozování!$BM44,0)))</f>
        <v>0</v>
      </c>
      <c r="AW82" s="164">
        <f>IF(Provozování!$BJ$16="Neaktivní",0,Provozování!BJ44)</f>
        <v>0</v>
      </c>
      <c r="AX82" s="158">
        <f>IF(Provozování!$BJ$16="Neaktivní",0,Provozování!BK44)</f>
        <v>0</v>
      </c>
    </row>
    <row r="83" spans="1:50" ht="15.75" thickBot="1" x14ac:dyDescent="0.3">
      <c r="A83" s="33"/>
      <c r="B83" s="12" t="s">
        <v>55</v>
      </c>
      <c r="C83" s="919" t="s">
        <v>56</v>
      </c>
      <c r="D83" s="919"/>
      <c r="E83" s="919"/>
      <c r="F83" s="3" t="s">
        <v>10</v>
      </c>
      <c r="G83" s="278">
        <f>IF(AND(DAY(Postup!$H$24)=1,MONTH(Postup!$H$24)=1),Provozování!E45,Provozování!G45)</f>
        <v>0</v>
      </c>
      <c r="H83" s="162">
        <f>IF(AND(DAY(Postup!$H$24)=1,MONTH(Postup!$H$24)=1),Provozování!F45,Provozování!H45)</f>
        <v>0</v>
      </c>
      <c r="I83" s="278">
        <f>IF(Provozování!$I$16="Neaktivní",0,Provozování!I45)</f>
        <v>0</v>
      </c>
      <c r="J83" s="162">
        <f>IF(Provozování!$I$16="Neaktivní",0,Provozování!J45)</f>
        <v>0</v>
      </c>
      <c r="K83" s="278">
        <f>IF(YEAR(Postup!$H$25)&gt;$K$61,Provozování!O45,IF(AND(DAY(Postup!$H$25)=31,MONTH(Postup!$H$25)=12,YEAR(Postup!$H$25)=$K$61),Provozování!O45,IF(YEAR(Postup!$H$25)=$K$61,Provozování!$BL45,0)))</f>
        <v>0</v>
      </c>
      <c r="L83" s="162">
        <f>IF(YEAR(Postup!$H$25)&gt;$K$61,Provozování!P45,IF(AND(DAY(Postup!$H$25)=31,MONTH(Postup!$H$25)=12,YEAR(Postup!$H$25)=$K$61),Provozování!P45,IF(YEAR(Postup!$H$25)=$K$61,Provozování!$BM45,0)))</f>
        <v>0</v>
      </c>
      <c r="M83" s="278">
        <f>IF(Provozování!$Q$16="Neaktivní",0,Provozování!Q45)</f>
        <v>0</v>
      </c>
      <c r="N83" s="162">
        <f>IF(Provozování!$Q$16="Neaktivní",0,Provozování!R45)</f>
        <v>0</v>
      </c>
      <c r="O83" s="278">
        <f>IF(YEAR(Postup!$H$25)&gt;$O$61,Provozování!T45,IF(AND(DAY(Postup!$H$25)=31,MONTH(Postup!$H$25)=12,YEAR(Postup!$H$25)=$O$61),Provozování!T45,IF(YEAR(Postup!$H$25)=$O$61,Provozování!$BL45,0)))</f>
        <v>0</v>
      </c>
      <c r="P83" s="162">
        <f>IF(YEAR(Postup!$H$25)&gt;$O$61,Provozování!U45,IF(AND(DAY(Postup!$H$25)=31,MONTH(Postup!$H$25)=12,YEAR(Postup!$H$25)=$O$61),Provozování!U45,IF(YEAR(Postup!$H$25)=$O$61,Provozování!$BM45,0)))</f>
        <v>0</v>
      </c>
      <c r="Q83" s="278">
        <f>IF(Provozování!$V$16="Neaktivní",0,Provozování!V45)</f>
        <v>0</v>
      </c>
      <c r="R83" s="162">
        <f>IF(Provozování!$V$16="Neaktivní",0,Provozování!W45)</f>
        <v>0</v>
      </c>
      <c r="S83" s="278">
        <f>IF(YEAR(Postup!$H$25)&gt;$S$61,Provozování!Y45,IF(AND(DAY(Postup!$H$25)=31,MONTH(Postup!$H$25)=12,YEAR(Postup!$H$25)=$S$61),Provozování!Y45,IF(YEAR(Postup!$H$25)=$S$61,Provozování!$BL45,0)))</f>
        <v>0</v>
      </c>
      <c r="T83" s="162">
        <f>IF(YEAR(Postup!$H$25)&gt;$S$61,Provozování!Z45,IF(AND(DAY(Postup!$H$25)=31,MONTH(Postup!$H$25)=12,YEAR(Postup!$H$25)=$S$61),Provozování!Z45,IF(YEAR(Postup!$H$25)=$S$61,Provozování!$BM45,0)))</f>
        <v>0</v>
      </c>
      <c r="U83" s="278">
        <f>IF(Provozování!$AA$16="Neaktivní",0,Provozování!AA45)</f>
        <v>0</v>
      </c>
      <c r="V83" s="162">
        <f>IF(Provozování!$AA$16="Neaktivní",0,Provozování!AB45)</f>
        <v>0</v>
      </c>
      <c r="W83" s="278">
        <f>IF(YEAR(Postup!$H$25)&gt;$W$61,Provozování!AD45,IF(AND(DAY(Postup!$H$25)=31,MONTH(Postup!$H$25)=12,YEAR(Postup!$H$25)=$W$61),Provozování!AD45,IF(YEAR(Postup!$H$25)=$W$61,Provozování!$BL45,0)))</f>
        <v>0</v>
      </c>
      <c r="X83" s="162">
        <f>IF(YEAR(Postup!$H$25)&gt;$W$61,Provozování!AE45,IF(AND(DAY(Postup!$H$25)=31,MONTH(Postup!$H$25)=12,YEAR(Postup!$H$25)=$W$61),Provozování!AE45,IF(YEAR(Postup!$H$25)=$W$61,Provozování!$BM45,0)))</f>
        <v>0</v>
      </c>
      <c r="Y83" s="278">
        <f>IF(Provozování!$AF$16="Neaktivní",0,Provozování!AF45)</f>
        <v>0</v>
      </c>
      <c r="Z83" s="162">
        <f>IF(Provozování!$AF$16="Neaktivní",0,Provozování!AG45)</f>
        <v>0</v>
      </c>
      <c r="AA83" s="278">
        <f>IF(YEAR(Postup!$H$25)&gt;$AA$61,Provozování!AI45,IF(AND(DAY(Postup!$H$25)=31,MONTH(Postup!$H$25)=12,YEAR(Postup!$H$25)=$AA$61),Provozování!AI45,IF(YEAR(Postup!$H$25)=$AA$61,Provozování!$BL45,0)))</f>
        <v>0</v>
      </c>
      <c r="AB83" s="162">
        <f>IF(YEAR(Postup!$H$25)&gt;$AA$61,Provozování!AJ45,IF(AND(DAY(Postup!$H$25)=31,MONTH(Postup!$H$25)=12,YEAR(Postup!$H$25)=$AA$61),Provozování!AJ45,IF(YEAR(Postup!$H$25)=$AA$61,Provozování!$BM45,0)))</f>
        <v>0</v>
      </c>
      <c r="AC83" s="278">
        <f>IF(Provozování!$AK$16="Neaktivní",0,Provozování!AK45)</f>
        <v>0</v>
      </c>
      <c r="AD83" s="162">
        <f>IF(Provozování!$AK$16="Neaktivní",0,Provozování!AL45)</f>
        <v>0</v>
      </c>
      <c r="AE83" s="278">
        <f>IF(YEAR(Postup!$H$25)&gt;$AE$61,Provozování!AN45,IF(AND(DAY(Postup!$H$25)=31,MONTH(Postup!$H$25)=12,YEAR(Postup!$H$25)=$AE$61),Provozování!AN45,IF(YEAR(Postup!$H$25)=$AE$61,Provozování!$BL45,0)))</f>
        <v>0</v>
      </c>
      <c r="AF83" s="162">
        <f>IF(YEAR(Postup!$H$25)&gt;$AE$61,Provozování!AO45,IF(AND(DAY(Postup!$H$25)=31,MONTH(Postup!$H$25)=12,YEAR(Postup!$H$25)=$AE$61),Provozování!AO45,IF(YEAR(Postup!$H$25)=$AE$61,Provozování!$BM45,0)))</f>
        <v>0</v>
      </c>
      <c r="AG83" s="278">
        <f>IF(Provozování!$AP$16="Neaktivní",0,Provozování!AP45)</f>
        <v>0</v>
      </c>
      <c r="AH83" s="162">
        <f>IF(Provozování!$AP$16="Neaktivní",0,Provozování!AQ45)</f>
        <v>0</v>
      </c>
      <c r="AI83" s="278">
        <f>IF(YEAR(Postup!$H$25)&gt;$AI$61,Provozování!AS45,IF(AND(DAY(Postup!$H$25)=31,MONTH(Postup!$H$25)=12,YEAR(Postup!$H$25)=$AI$61),Provozování!AS45,IF(YEAR(Postup!$H$25)=$AI$61,Provozování!$BL45,0)))</f>
        <v>0</v>
      </c>
      <c r="AJ83" s="162">
        <f>IF(YEAR(Postup!$H$25)&gt;$AI$61,Provozování!AT45,IF(AND(DAY(Postup!$H$25)=31,MONTH(Postup!$H$25)=12,YEAR(Postup!$H$25)=$AI$61),Provozování!AT45,IF(YEAR(Postup!$H$25)=$AI$61,Provozování!$BM45,0)))</f>
        <v>0</v>
      </c>
      <c r="AK83" s="278">
        <f>IF(Provozování!$AU$16="Neaktivní",0,Provozování!AU45)</f>
        <v>0</v>
      </c>
      <c r="AL83" s="162">
        <f>IF(Provozování!$AU$16="Neaktivní",0,Provozování!AV45)</f>
        <v>0</v>
      </c>
      <c r="AM83" s="278">
        <f>IF(YEAR(Postup!$H$25)&gt;$AM$61,Provozování!AX45,IF(AND(DAY(Postup!$H$25)=31,MONTH(Postup!$H$25)=12,YEAR(Postup!$H$25)=$AM$61),Provozování!AX45,IF(YEAR(Postup!$H$25)=$AM$61,Provozování!$BL45,0)))</f>
        <v>0</v>
      </c>
      <c r="AN83" s="162">
        <f>IF(YEAR(Postup!$H$25)&gt;$AM$61,Provozování!AY45,IF(AND(DAY(Postup!$H$25)=31,MONTH(Postup!$H$25)=12,YEAR(Postup!$H$25)=$AM$61),Provozování!AY45,IF(YEAR(Postup!$H$25)=$AM$61,Provozování!$BM45,0)))</f>
        <v>0</v>
      </c>
      <c r="AO83" s="278">
        <f>IF(Provozování!$AZ$16="Neaktivní",0,Provozování!AZ45)</f>
        <v>0</v>
      </c>
      <c r="AP83" s="162">
        <f>IF(Provozování!$AZ$16="Neaktivní",0,Provozování!BA45)</f>
        <v>0</v>
      </c>
      <c r="AQ83" s="278">
        <f>IF(YEAR(Postup!$H$25)&gt;$AQ$61,Provozování!BC45,IF(AND(DAY(Postup!$H$25)=31,MONTH(Postup!$H$25)=12,YEAR(Postup!$H$25)=$AQ$61),Provozování!BC45,IF(YEAR(Postup!$H$25)=$AQ$61,Provozování!$BL45,0)))</f>
        <v>0</v>
      </c>
      <c r="AR83" s="162">
        <f>IF(YEAR(Postup!$H$25)&gt;$AM$61,Provozování!BD45,IF(AND(DAY(Postup!$H$25)=31,MONTH(Postup!$H$25)=12,YEAR(Postup!$H$25)=$AM$61),Provozování!BD45,IF(YEAR(Postup!$H$25)=$AM$61,Provozování!$BM45,0)))</f>
        <v>0</v>
      </c>
      <c r="AS83" s="278">
        <f>IF(Provozování!$BE$16="Neaktivní",0,Provozování!BE45)</f>
        <v>0</v>
      </c>
      <c r="AT83" s="162">
        <f>IF(Provozování!$BE$16="Neaktivní",0,Provozování!BF45)</f>
        <v>0</v>
      </c>
      <c r="AU83" s="278">
        <f>IF(YEAR(Postup!$H$25)&gt;$AU$61,Provozování!BH45,IF(AND(DAY(Postup!$H$25)=31,MONTH(Postup!$H$25)=12,YEAR(Postup!$H$25)=$AU$61),Provozování!BH45,IF(YEAR(Postup!$H$25)=$AU$61,Provozování!$BL45,0)))</f>
        <v>0</v>
      </c>
      <c r="AV83" s="162">
        <f>IF(YEAR(Postup!$H$25)&gt;$AU$61,Provozování!BI45,IF(AND(DAY(Postup!$H$25)=31,MONTH(Postup!$H$25)=12,YEAR(Postup!$H$25)=$AU$61),Provozování!BI45,IF(YEAR(Postup!$H$25)=$AU$61,Provozování!$BM45,0)))</f>
        <v>0</v>
      </c>
      <c r="AW83" s="278">
        <f>IF(Provozování!$BJ$16="Neaktivní",0,Provozování!BJ45)</f>
        <v>0</v>
      </c>
      <c r="AX83" s="162">
        <f>IF(Provozování!$BJ$16="Neaktivní",0,Provozování!BK45)</f>
        <v>0</v>
      </c>
    </row>
    <row r="84" spans="1:50" x14ac:dyDescent="0.25">
      <c r="A84" s="33"/>
      <c r="B84" s="293" t="s">
        <v>33</v>
      </c>
      <c r="C84" s="1006" t="s">
        <v>398</v>
      </c>
      <c r="D84" s="919"/>
      <c r="E84" s="919"/>
      <c r="F84" s="3" t="s">
        <v>10</v>
      </c>
      <c r="G84" s="539">
        <f>IF(AND(DAY(Postup!$H$24)=1,MONTH(Postup!$H$24)=1),Provozování!E34,Provozování!G34)</f>
        <v>0</v>
      </c>
      <c r="H84" s="536">
        <f>IF(AND(DAY(Postup!$H$24)=1,MONTH(Postup!$H$24)=1),Provozování!F34,Provozování!H34)</f>
        <v>0</v>
      </c>
      <c r="I84" s="535">
        <f>IF(Provozování!$I$16="Neaktivní",0,Provozování!I34)</f>
        <v>0</v>
      </c>
      <c r="J84" s="536">
        <f>IF(Provozování!$I$16="Neaktivní",0,Provozování!J34)</f>
        <v>0</v>
      </c>
      <c r="K84" s="535">
        <f>IF(YEAR(Postup!$H$25)&gt;$K$61,Provozování!O34,IF(AND(DAY(Postup!$H$25)=31,MONTH(Postup!$H$25)=12,YEAR(Postup!$H$25)=$K$61),Provozování!O34,IF(YEAR(Postup!$H$25)=$K$61,Provozování!$BL34,0)))</f>
        <v>0</v>
      </c>
      <c r="L84" s="536">
        <f>IF(YEAR(Postup!$H$25)&gt;$K$61,Provozování!P34,IF(AND(DAY(Postup!$H$25)=31,MONTH(Postup!$H$25)=12,YEAR(Postup!$H$25)=$K$61),Provozování!P34,IF(YEAR(Postup!$H$25)=$K$61,Provozování!$BM34,0)))</f>
        <v>0</v>
      </c>
      <c r="M84" s="535">
        <f>IF(Provozování!$Q$16="Neaktivní",0,Provozování!Q34)</f>
        <v>0</v>
      </c>
      <c r="N84" s="536">
        <f>IF(Provozování!$Q$16="Neaktivní",0,Provozování!R34)</f>
        <v>0</v>
      </c>
      <c r="O84" s="535">
        <f>IF(YEAR(Postup!$H$25)&gt;$O$61,Provozování!T34,IF(AND(DAY(Postup!$H$25)=31,MONTH(Postup!$H$25)=12,YEAR(Postup!$H$25)=$O$61),Provozování!T34,IF(YEAR(Postup!$H$25)=$O$61,Provozování!$BL34,0)))</f>
        <v>0</v>
      </c>
      <c r="P84" s="536">
        <f>IF(YEAR(Postup!$H$25)&gt;$O$61,Provozování!U34,IF(AND(DAY(Postup!$H$25)=31,MONTH(Postup!$H$25)=12,YEAR(Postup!$H$25)=$O$61),Provozování!U34,IF(YEAR(Postup!$H$25)=$O$61,Provozování!$BM34,0)))</f>
        <v>0</v>
      </c>
      <c r="Q84" s="535">
        <f>IF(Provozování!$V$16="Neaktivní",0,Provozování!V34)</f>
        <v>0</v>
      </c>
      <c r="R84" s="536">
        <f>IF(Provozování!$V$16="Neaktivní",0,Provozování!W34)</f>
        <v>0</v>
      </c>
      <c r="S84" s="535">
        <f>IF(YEAR(Postup!$H$25)&gt;$S$61,Provozování!Y34,IF(AND(DAY(Postup!$H$25)=31,MONTH(Postup!$H$25)=12,YEAR(Postup!$H$25)=$S$61),Provozování!Y34,IF(YEAR(Postup!$H$25)=$S$61,Provozování!$BL34,0)))</f>
        <v>0</v>
      </c>
      <c r="T84" s="536">
        <f>IF(YEAR(Postup!$H$25)&gt;$S$61,Provozování!Z34,IF(AND(DAY(Postup!$H$25)=31,MONTH(Postup!$H$25)=12,YEAR(Postup!$H$25)=$S$61),Provozování!Z34,IF(YEAR(Postup!$H$25)=$S$61,Provozování!$BM34,0)))</f>
        <v>0</v>
      </c>
      <c r="U84" s="535">
        <f>IF(Provozování!$AA$16="Neaktivní",0,Provozování!AA34)</f>
        <v>0</v>
      </c>
      <c r="V84" s="536">
        <f>IF(Provozování!$AA$16="Neaktivní",0,Provozování!AB34)</f>
        <v>0</v>
      </c>
      <c r="W84" s="535">
        <f>IF(YEAR(Postup!$H$25)&gt;$W$61,Provozování!AD34,IF(AND(DAY(Postup!$H$25)=31,MONTH(Postup!$H$25)=12,YEAR(Postup!$H$25)=$W$61),Provozování!AD34,IF(YEAR(Postup!$H$25)=$W$61,Provozování!$BL34,0)))</f>
        <v>0</v>
      </c>
      <c r="X84" s="536">
        <f>IF(YEAR(Postup!$H$25)&gt;$W$61,Provozování!AE34,IF(AND(DAY(Postup!$H$25)=31,MONTH(Postup!$H$25)=12,YEAR(Postup!$H$25)=$W$61),Provozování!AE34,IF(YEAR(Postup!$H$25)=$W$61,Provozování!$BM34,0)))</f>
        <v>0</v>
      </c>
      <c r="Y84" s="535">
        <f>IF(Provozování!$AF$16="Neaktivní",0,Provozování!AF34)</f>
        <v>0</v>
      </c>
      <c r="Z84" s="536">
        <f>IF(Provozování!$AF$16="Neaktivní",0,Provozování!AG34)</f>
        <v>0</v>
      </c>
      <c r="AA84" s="535">
        <f>IF(YEAR(Postup!$H$25)&gt;$AA$61,Provozování!AI34,IF(AND(DAY(Postup!$H$25)=31,MONTH(Postup!$H$25)=12,YEAR(Postup!$H$25)=$AA$61),Provozování!AI34,IF(YEAR(Postup!$H$25)=$AA$61,Provozování!$BL34,0)))</f>
        <v>0</v>
      </c>
      <c r="AB84" s="536">
        <f>IF(YEAR(Postup!$H$25)&gt;$AA$61,Provozování!AJ34,IF(AND(DAY(Postup!$H$25)=31,MONTH(Postup!$H$25)=12,YEAR(Postup!$H$25)=$AA$61),Provozování!AJ34,IF(YEAR(Postup!$H$25)=$AA$61,Provozování!$BM34,0)))</f>
        <v>0</v>
      </c>
      <c r="AC84" s="535">
        <f>IF(Provozování!$AK$16="Neaktivní",0,Provozování!AK34)</f>
        <v>0</v>
      </c>
      <c r="AD84" s="536">
        <f>IF(Provozování!$AK$16="Neaktivní",0,Provozování!AL34)</f>
        <v>0</v>
      </c>
      <c r="AE84" s="535">
        <f>IF(YEAR(Postup!$H$25)&gt;$AE$61,Provozování!AN34,IF(AND(DAY(Postup!$H$25)=31,MONTH(Postup!$H$25)=12,YEAR(Postup!$H$25)=$AE$61),Provozování!AN34,IF(YEAR(Postup!$H$25)=$AE$61,Provozování!$BL34,0)))</f>
        <v>0</v>
      </c>
      <c r="AF84" s="536">
        <f>IF(YEAR(Postup!$H$25)&gt;$AE$61,Provozování!AO34,IF(AND(DAY(Postup!$H$25)=31,MONTH(Postup!$H$25)=12,YEAR(Postup!$H$25)=$AE$61),Provozování!AO34,IF(YEAR(Postup!$H$25)=$AE$61,Provozování!$BM34,0)))</f>
        <v>0</v>
      </c>
      <c r="AG84" s="535">
        <f>IF(Provozování!$AP$16="Neaktivní",0,Provozování!AP34)</f>
        <v>0</v>
      </c>
      <c r="AH84" s="536">
        <f>IF(Provozování!$AP$16="Neaktivní",0,Provozování!AQ34)</f>
        <v>0</v>
      </c>
      <c r="AI84" s="535">
        <f>IF(YEAR(Postup!$H$25)&gt;$AI$61,Provozování!AS34,IF(AND(DAY(Postup!$H$25)=31,MONTH(Postup!$H$25)=12,YEAR(Postup!$H$25)=$AI$61),Provozování!AS34,IF(YEAR(Postup!$H$25)=$AI$61,Provozování!$BL34,0)))</f>
        <v>0</v>
      </c>
      <c r="AJ84" s="536">
        <f>IF(YEAR(Postup!$H$25)&gt;$AI$61,Provozování!AT34,IF(AND(DAY(Postup!$H$25)=31,MONTH(Postup!$H$25)=12,YEAR(Postup!$H$25)=$AI$61),Provozování!AT34,IF(YEAR(Postup!$H$25)=$AI$61,Provozování!$BM34,0)))</f>
        <v>0</v>
      </c>
      <c r="AK84" s="535">
        <f>IF(Provozování!$AU$16="Neaktivní",0,Provozování!AU34)</f>
        <v>0</v>
      </c>
      <c r="AL84" s="536">
        <f>IF(Provozování!$AU$16="Neaktivní",0,Provozování!AV34)</f>
        <v>0</v>
      </c>
      <c r="AM84" s="535">
        <f>IF(YEAR(Postup!$H$25)&gt;$AM$61,Provozování!AX34,IF(AND(DAY(Postup!$H$25)=31,MONTH(Postup!$H$25)=12,YEAR(Postup!$H$25)=$AM$61),Provozování!AX34,IF(YEAR(Postup!$H$25)=$AM$61,Provozování!$BL34,0)))</f>
        <v>0</v>
      </c>
      <c r="AN84" s="536">
        <f>IF(YEAR(Postup!$H$25)&gt;$AM$61,Provozování!AY34,IF(AND(DAY(Postup!$H$25)=31,MONTH(Postup!$H$25)=12,YEAR(Postup!$H$25)=$AM$61),Provozování!AY34,IF(YEAR(Postup!$H$25)=$AM$61,Provozování!$BM34,0)))</f>
        <v>0</v>
      </c>
      <c r="AO84" s="535">
        <f>IF(Provozování!$AZ$16="Neaktivní",0,Provozování!AZ34)</f>
        <v>0</v>
      </c>
      <c r="AP84" s="536">
        <f>IF(Provozování!$AZ$16="Neaktivní",0,Provozování!BA34)</f>
        <v>0</v>
      </c>
      <c r="AQ84" s="535">
        <f>IF(YEAR(Postup!$H$25)&gt;$AQ$61,Provozování!BC34,IF(AND(DAY(Postup!$H$25)=31,MONTH(Postup!$H$25)=12,YEAR(Postup!$H$25)=$AQ$61),Provozování!BC34,IF(YEAR(Postup!$H$25)=$AQ$61,Provozování!$BL34,0)))</f>
        <v>0</v>
      </c>
      <c r="AR84" s="536">
        <f>IF(YEAR(Postup!$H$25)&gt;$AM$61,Provozování!BD34,IF(AND(DAY(Postup!$H$25)=31,MONTH(Postup!$H$25)=12,YEAR(Postup!$H$25)=$AM$61),Provozování!BD34,IF(YEAR(Postup!$H$25)=$AM$61,Provozování!$BM34,0)))</f>
        <v>0</v>
      </c>
      <c r="AS84" s="535">
        <f>IF(Provozování!$BE$16="Neaktivní",0,Provozování!BE34)</f>
        <v>0</v>
      </c>
      <c r="AT84" s="536">
        <f>IF(Provozování!$BE$16="Neaktivní",0,Provozování!BF34)</f>
        <v>0</v>
      </c>
      <c r="AU84" s="535">
        <f>IF(YEAR(Postup!$H$25)&gt;$AU$61,Provozování!BH34,IF(AND(DAY(Postup!$H$25)=31,MONTH(Postup!$H$25)=12,YEAR(Postup!$H$25)=$AU$61),Provozování!BH34,IF(YEAR(Postup!$H$25)=$AU$61,Provozování!$BL34,0)))</f>
        <v>0</v>
      </c>
      <c r="AV84" s="536">
        <f>IF(YEAR(Postup!$H$25)&gt;$AU$61,Provozování!BI34,IF(AND(DAY(Postup!$H$25)=31,MONTH(Postup!$H$25)=12,YEAR(Postup!$H$25)=$AU$61),Provozování!BI34,IF(YEAR(Postup!$H$25)=$AU$61,Provozování!$BM34,0)))</f>
        <v>0</v>
      </c>
      <c r="AW84" s="535">
        <f>IF(Provozování!$BJ$16="Neaktivní",0,Provozování!BJ34)</f>
        <v>0</v>
      </c>
      <c r="AX84" s="536">
        <f>IF(Provozování!$BJ$16="Neaktivní",0,Provozování!BK34)</f>
        <v>0</v>
      </c>
    </row>
    <row r="85" spans="1:50" x14ac:dyDescent="0.25">
      <c r="A85" s="33"/>
      <c r="B85" s="33"/>
      <c r="C85" s="919" t="s">
        <v>399</v>
      </c>
      <c r="D85" s="919"/>
      <c r="E85" s="919"/>
      <c r="F85" s="3" t="s">
        <v>10</v>
      </c>
      <c r="G85" s="157">
        <f>G88-G84</f>
        <v>0</v>
      </c>
      <c r="H85" s="158">
        <f>H88-H84</f>
        <v>0</v>
      </c>
      <c r="I85" s="530" t="s">
        <v>397</v>
      </c>
      <c r="J85" s="531" t="s">
        <v>397</v>
      </c>
      <c r="K85" s="164">
        <f>G85-K84</f>
        <v>0</v>
      </c>
      <c r="L85" s="158">
        <f>H85-L84</f>
        <v>0</v>
      </c>
      <c r="M85" s="530" t="s">
        <v>397</v>
      </c>
      <c r="N85" s="531" t="s">
        <v>397</v>
      </c>
      <c r="O85" s="164">
        <f>K85-O84</f>
        <v>0</v>
      </c>
      <c r="P85" s="158">
        <f>L85-P84</f>
        <v>0</v>
      </c>
      <c r="Q85" s="530" t="s">
        <v>397</v>
      </c>
      <c r="R85" s="531" t="s">
        <v>397</v>
      </c>
      <c r="S85" s="164">
        <f>O85-S84</f>
        <v>0</v>
      </c>
      <c r="T85" s="158">
        <f>P85-T84</f>
        <v>0</v>
      </c>
      <c r="U85" s="530" t="s">
        <v>397</v>
      </c>
      <c r="V85" s="531" t="s">
        <v>397</v>
      </c>
      <c r="W85" s="164">
        <f>S85-W84</f>
        <v>0</v>
      </c>
      <c r="X85" s="158">
        <f>T85-X84</f>
        <v>0</v>
      </c>
      <c r="Y85" s="530" t="s">
        <v>397</v>
      </c>
      <c r="Z85" s="531" t="s">
        <v>397</v>
      </c>
      <c r="AA85" s="164">
        <f>W85-AA84</f>
        <v>0</v>
      </c>
      <c r="AB85" s="158">
        <f>X85-AB84</f>
        <v>0</v>
      </c>
      <c r="AC85" s="530" t="s">
        <v>397</v>
      </c>
      <c r="AD85" s="531" t="s">
        <v>397</v>
      </c>
      <c r="AE85" s="164">
        <f>AA85-AE84</f>
        <v>0</v>
      </c>
      <c r="AF85" s="158">
        <f>AB85-AF84</f>
        <v>0</v>
      </c>
      <c r="AG85" s="530" t="s">
        <v>397</v>
      </c>
      <c r="AH85" s="531" t="s">
        <v>397</v>
      </c>
      <c r="AI85" s="164">
        <f>AE85-AI84</f>
        <v>0</v>
      </c>
      <c r="AJ85" s="158">
        <f>AF85-AJ84</f>
        <v>0</v>
      </c>
      <c r="AK85" s="530" t="s">
        <v>397</v>
      </c>
      <c r="AL85" s="531" t="s">
        <v>397</v>
      </c>
      <c r="AM85" s="164">
        <f>AI85-AM84</f>
        <v>0</v>
      </c>
      <c r="AN85" s="158">
        <f>AJ85-AN84</f>
        <v>0</v>
      </c>
      <c r="AO85" s="530" t="s">
        <v>397</v>
      </c>
      <c r="AP85" s="531" t="s">
        <v>397</v>
      </c>
      <c r="AQ85" s="164">
        <f>AM85-AQ84</f>
        <v>0</v>
      </c>
      <c r="AR85" s="158">
        <f>AN85-AR84</f>
        <v>0</v>
      </c>
      <c r="AS85" s="530" t="s">
        <v>397</v>
      </c>
      <c r="AT85" s="531" t="s">
        <v>397</v>
      </c>
      <c r="AU85" s="164">
        <f>AQ85-AU84</f>
        <v>0</v>
      </c>
      <c r="AV85" s="158">
        <f>AR85-AV84</f>
        <v>0</v>
      </c>
      <c r="AW85" s="530" t="s">
        <v>397</v>
      </c>
      <c r="AX85" s="531" t="s">
        <v>397</v>
      </c>
    </row>
    <row r="86" spans="1:50" ht="15.75" thickBot="1" x14ac:dyDescent="0.3">
      <c r="A86" s="33"/>
      <c r="B86" s="33"/>
      <c r="C86" s="919" t="s">
        <v>404</v>
      </c>
      <c r="D86" s="919"/>
      <c r="E86" s="919"/>
      <c r="F86" s="3" t="s">
        <v>10</v>
      </c>
      <c r="G86" s="530">
        <f>G88/E17</f>
        <v>0</v>
      </c>
      <c r="H86" s="531">
        <f>H88/E17</f>
        <v>0</v>
      </c>
      <c r="I86" s="537" t="s">
        <v>397</v>
      </c>
      <c r="J86" s="538" t="s">
        <v>397</v>
      </c>
      <c r="K86" s="537">
        <f>IF(AND(DAY($E$20)&lt;&gt;31,MONTH($E$20)&lt;&gt;12,K61=Provozování!$BL$19),G85/$E$23,G85)</f>
        <v>0</v>
      </c>
      <c r="L86" s="540">
        <f>IF(AND(DAY($E$20)&lt;&gt;31,MONTH($E$20)&lt;&gt;12,K61=Provozování!$BL$19),H85/$E$23,H85)</f>
        <v>0</v>
      </c>
      <c r="M86" s="537" t="s">
        <v>397</v>
      </c>
      <c r="N86" s="538" t="s">
        <v>397</v>
      </c>
      <c r="O86" s="537">
        <f>IF(AND(DAY($E$20)&lt;&gt;31,MONTH($E$20)&lt;&gt;12,O61=Provozování!$BL$19),K85/$E$23,K85)</f>
        <v>0</v>
      </c>
      <c r="P86" s="540">
        <f>IF(AND(DAY($E$20)&lt;&gt;31,MONTH($E$20)&lt;&gt;12,O61=Provozování!$BL$19),L85/$E$23,L85)</f>
        <v>0</v>
      </c>
      <c r="Q86" s="537" t="s">
        <v>397</v>
      </c>
      <c r="R86" s="538" t="s">
        <v>397</v>
      </c>
      <c r="S86" s="537">
        <f>IF(AND(DAY($E$20)&lt;&gt;31,MONTH($E$20)&lt;&gt;12,S61=Provozování!$BL$19),O85/$E$23,O85)</f>
        <v>0</v>
      </c>
      <c r="T86" s="540">
        <f>IF(AND(DAY($E$20)&lt;&gt;31,MONTH($E$20)&lt;&gt;12,S61=Provozování!$BL$19),P85/$E$23,P85)</f>
        <v>0</v>
      </c>
      <c r="U86" s="537" t="s">
        <v>397</v>
      </c>
      <c r="V86" s="538" t="s">
        <v>397</v>
      </c>
      <c r="W86" s="537">
        <f>IF(AND(DAY($E$20)&lt;&gt;31,MONTH($E$20)&lt;&gt;12,W61=Provozování!$BL$19),S85/$E$23,S85)</f>
        <v>0</v>
      </c>
      <c r="X86" s="540">
        <f>IF(AND(DAY($E$20)&lt;&gt;31,MONTH($E$20)&lt;&gt;12,W61=Provozování!$BL$19),T85/$E$23,T85)</f>
        <v>0</v>
      </c>
      <c r="Y86" s="537" t="s">
        <v>397</v>
      </c>
      <c r="Z86" s="538" t="s">
        <v>397</v>
      </c>
      <c r="AA86" s="537">
        <f>IF(AND(DAY($E$20)&lt;&gt;31,MONTH($E$20)&lt;&gt;12,AA61=Provozování!$BL$19),W85/$E$23,W85)</f>
        <v>0</v>
      </c>
      <c r="AB86" s="540">
        <f>IF(AND(DAY($E$20)&lt;&gt;31,MONTH($E$20)&lt;&gt;12,AA61=Provozování!$BL$19),X85/$E$23,X85)</f>
        <v>0</v>
      </c>
      <c r="AC86" s="537" t="s">
        <v>397</v>
      </c>
      <c r="AD86" s="538" t="s">
        <v>397</v>
      </c>
      <c r="AE86" s="537">
        <f>IF(AND(DAY($E$20)&lt;&gt;31,MONTH($E$20)&lt;&gt;12,AE61=Provozování!$BL$19),AA85/$E$23,AA85)</f>
        <v>0</v>
      </c>
      <c r="AF86" s="540">
        <f>IF(AND(DAY($E$20)&lt;&gt;31,MONTH($E$20)&lt;&gt;12,AE61=Provozování!$BL$19),AB85/$E$23,AB85)</f>
        <v>0</v>
      </c>
      <c r="AG86" s="537" t="s">
        <v>397</v>
      </c>
      <c r="AH86" s="538" t="s">
        <v>397</v>
      </c>
      <c r="AI86" s="537">
        <f>IF(AND(DAY($E$20)&lt;&gt;31,MONTH($E$20)&lt;&gt;12,AI61=Provozování!$BL$19),AE85/$E$23,AE85)</f>
        <v>0</v>
      </c>
      <c r="AJ86" s="540">
        <f>IF(AND(DAY($E$20)&lt;&gt;31,MONTH($E$20)&lt;&gt;12,AI61=Provozování!$BL$19),AF85/$E$23,AF85)</f>
        <v>0</v>
      </c>
      <c r="AK86" s="537" t="s">
        <v>397</v>
      </c>
      <c r="AL86" s="538" t="s">
        <v>397</v>
      </c>
      <c r="AM86" s="537">
        <f>IF(AND(DAY($E$20)&lt;&gt;31,MONTH($E$20)&lt;&gt;12,AM61=Provozování!$BL$19),AI85/$E$23,AI85)</f>
        <v>0</v>
      </c>
      <c r="AN86" s="540">
        <f>IF(AND(DAY($E$20)&lt;&gt;31,MONTH($E$20)&lt;&gt;12,AM61=Provozování!$BL$19),AJ85/$E$23,AJ85)</f>
        <v>0</v>
      </c>
      <c r="AO86" s="537" t="s">
        <v>397</v>
      </c>
      <c r="AP86" s="538" t="s">
        <v>397</v>
      </c>
      <c r="AQ86" s="537">
        <f>IF(AND(DAY($E$20)&lt;&gt;31,MONTH($E$20)&lt;&gt;12,AQ61=Provozování!$BL$19),AM85/$E$23,AM85)</f>
        <v>0</v>
      </c>
      <c r="AR86" s="540">
        <f>IF(AND(DAY($E$20)&lt;&gt;31,MONTH($E$20)&lt;&gt;12,AQ61=Provozování!$BL$19),AN85/$E$23,AN85)</f>
        <v>0</v>
      </c>
      <c r="AS86" s="537" t="s">
        <v>397</v>
      </c>
      <c r="AT86" s="538" t="s">
        <v>397</v>
      </c>
      <c r="AU86" s="537">
        <f>IF(AND(DAY($E$20)&lt;&gt;31,MONTH($E$20)&lt;&gt;12,AU61=Provozování!$BL$19),AQ85/$E$23,AQ85)</f>
        <v>0</v>
      </c>
      <c r="AV86" s="540">
        <f>IF(AND(DAY($E$20)&lt;&gt;31,MONTH($E$20)&lt;&gt;12,AU61=Provozování!$BL$19),AR85/$E$23,AR85)</f>
        <v>0</v>
      </c>
      <c r="AW86" s="537" t="s">
        <v>397</v>
      </c>
      <c r="AX86" s="538" t="s">
        <v>397</v>
      </c>
    </row>
    <row r="87" spans="1:50" x14ac:dyDescent="0.25">
      <c r="A87" s="33"/>
      <c r="B87" s="33"/>
      <c r="C87" s="528"/>
      <c r="D87" s="528"/>
      <c r="E87" s="528"/>
      <c r="F87" s="529"/>
      <c r="G87" s="527" t="s">
        <v>135</v>
      </c>
      <c r="H87" s="474" t="s">
        <v>136</v>
      </c>
      <c r="I87" s="33"/>
      <c r="J87" s="33"/>
      <c r="K87" s="33"/>
      <c r="L87" s="33"/>
      <c r="M87" s="33"/>
      <c r="N87" s="33"/>
      <c r="O87" s="33"/>
      <c r="P87" s="33"/>
    </row>
    <row r="88" spans="1:50" ht="15.75" thickBot="1" x14ac:dyDescent="0.3">
      <c r="A88" s="33"/>
      <c r="B88" s="33"/>
      <c r="C88" s="919" t="s">
        <v>400</v>
      </c>
      <c r="D88" s="919"/>
      <c r="E88" s="919"/>
      <c r="F88" s="3" t="s">
        <v>10</v>
      </c>
      <c r="G88" s="160">
        <f>IF(Postup!J74="Ne",Nabídka!F29*((Výpočty!E20-Výpočty!E14)/365.25),Provozování!E100)</f>
        <v>0</v>
      </c>
      <c r="H88" s="162">
        <f>IF(Postup!J74="Ne",Nabídka!H29*((Výpočty!E20-Výpočty!E14)/365.25),Provozování!F100)</f>
        <v>0</v>
      </c>
      <c r="I88" s="526"/>
      <c r="J88" s="33"/>
      <c r="K88" s="33"/>
      <c r="L88" s="33"/>
      <c r="M88" s="33"/>
      <c r="N88" s="33"/>
      <c r="O88" s="33"/>
      <c r="P88" s="33"/>
    </row>
    <row r="89" spans="1:50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 spans="1:50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 spans="1:50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</row>
    <row r="92" spans="1:50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</row>
    <row r="93" spans="1:50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</row>
    <row r="94" spans="1:50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</row>
    <row r="95" spans="1:50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</row>
    <row r="96" spans="1:50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</row>
    <row r="97" spans="1:2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</row>
    <row r="98" spans="1:21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</row>
    <row r="99" spans="1:21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21" x14ac:dyDescent="0.25">
      <c r="A100" s="33"/>
      <c r="B100" s="89"/>
      <c r="C100" s="33"/>
      <c r="D100" s="33"/>
      <c r="E100" s="33"/>
      <c r="G100" s="384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  <c r="S100" s="487"/>
      <c r="T100" s="487"/>
      <c r="U100" s="487"/>
    </row>
    <row r="101" spans="1:21" x14ac:dyDescent="0.25">
      <c r="A101" s="33"/>
      <c r="B101" s="33"/>
      <c r="C101" s="33"/>
      <c r="D101" s="33"/>
      <c r="E101" s="33"/>
      <c r="G101" s="488"/>
      <c r="H101" s="488"/>
      <c r="I101" s="488"/>
      <c r="J101" s="488"/>
      <c r="K101" s="488"/>
      <c r="L101" s="488"/>
      <c r="M101" s="488"/>
      <c r="N101" s="488"/>
      <c r="O101" s="488"/>
      <c r="P101" s="488"/>
      <c r="Q101" s="488"/>
      <c r="R101" s="488"/>
      <c r="S101" s="488"/>
      <c r="T101" s="488"/>
      <c r="U101" s="488"/>
    </row>
    <row r="102" spans="1:21" x14ac:dyDescent="0.25">
      <c r="A102" s="33"/>
      <c r="B102" s="33"/>
      <c r="C102" s="33"/>
      <c r="D102" s="33"/>
      <c r="E102" s="33"/>
      <c r="G102" s="488"/>
      <c r="H102" s="488"/>
      <c r="I102" s="488"/>
      <c r="J102" s="488"/>
      <c r="K102" s="488"/>
      <c r="L102" s="488"/>
      <c r="M102" s="488"/>
      <c r="N102" s="488"/>
      <c r="O102" s="488"/>
      <c r="P102" s="488"/>
      <c r="Q102" s="488"/>
      <c r="R102" s="488"/>
      <c r="S102" s="488"/>
      <c r="T102" s="488"/>
      <c r="U102" s="488"/>
    </row>
    <row r="103" spans="1:21" x14ac:dyDescent="0.25">
      <c r="A103" s="33"/>
      <c r="B103" s="33"/>
      <c r="C103" s="33"/>
      <c r="D103" s="33"/>
      <c r="E103" s="33"/>
      <c r="G103" s="488"/>
      <c r="H103" s="488"/>
      <c r="I103" s="488"/>
      <c r="J103" s="488"/>
      <c r="K103" s="488"/>
      <c r="L103" s="488"/>
      <c r="M103" s="488"/>
      <c r="N103" s="488"/>
      <c r="O103" s="488"/>
      <c r="P103" s="488"/>
      <c r="Q103" s="488"/>
      <c r="R103" s="488"/>
      <c r="S103" s="488"/>
      <c r="T103" s="488"/>
      <c r="U103" s="488"/>
    </row>
    <row r="104" spans="1:21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</row>
    <row r="105" spans="1:21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</row>
    <row r="106" spans="1:2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</row>
    <row r="107" spans="1:21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</row>
    <row r="108" spans="1:21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</row>
    <row r="109" spans="1:21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</row>
    <row r="110" spans="1:21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</row>
    <row r="111" spans="1:21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</row>
    <row r="112" spans="1:21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</row>
    <row r="113" spans="1:16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</row>
    <row r="114" spans="1:16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</row>
    <row r="115" spans="1:16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</row>
    <row r="116" spans="1:16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</row>
    <row r="117" spans="1:16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</row>
    <row r="118" spans="1:16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</row>
    <row r="119" spans="1:16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</row>
    <row r="120" spans="1:16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</row>
    <row r="121" spans="1:16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</row>
    <row r="122" spans="1:16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</row>
    <row r="123" spans="1:16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</row>
    <row r="124" spans="1:16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</row>
    <row r="125" spans="1:16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</row>
    <row r="126" spans="1:16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</row>
    <row r="127" spans="1:16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</row>
    <row r="128" spans="1:16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</row>
    <row r="129" spans="1:16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</row>
    <row r="130" spans="1:16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</row>
    <row r="131" spans="1:16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</row>
    <row r="132" spans="1:16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</row>
    <row r="133" spans="1:16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</row>
    <row r="134" spans="1:16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</row>
    <row r="135" spans="1:16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</row>
    <row r="136" spans="1:16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</row>
    <row r="137" spans="1:16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</row>
    <row r="138" spans="1:16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</row>
    <row r="139" spans="1:16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</row>
    <row r="140" spans="1:16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</row>
    <row r="141" spans="1:16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</row>
    <row r="142" spans="1:16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</row>
    <row r="143" spans="1:16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</row>
    <row r="144" spans="1:16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</row>
    <row r="145" spans="1:16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</row>
    <row r="146" spans="1:16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</row>
    <row r="147" spans="1:16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</row>
    <row r="148" spans="1:16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</row>
    <row r="149" spans="1:16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</row>
    <row r="150" spans="1:16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</row>
    <row r="151" spans="1:16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</row>
    <row r="152" spans="1:16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</row>
    <row r="153" spans="1:16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</row>
    <row r="154" spans="1:16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</row>
    <row r="155" spans="1:16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</row>
    <row r="156" spans="1:16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</row>
    <row r="157" spans="1:16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</row>
    <row r="158" spans="1:16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</row>
    <row r="159" spans="1:16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</row>
    <row r="160" spans="1:16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</row>
    <row r="161" spans="1:16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</row>
    <row r="162" spans="1:16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</row>
    <row r="163" spans="1:16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</row>
    <row r="164" spans="1:16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</row>
    <row r="165" spans="1:16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</row>
    <row r="166" spans="1:16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</row>
    <row r="167" spans="1:16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</row>
    <row r="168" spans="1:16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</row>
    <row r="169" spans="1:16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</row>
    <row r="170" spans="1:16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</row>
    <row r="171" spans="1:16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</row>
    <row r="172" spans="1:16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</row>
    <row r="173" spans="1:16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</row>
    <row r="174" spans="1:16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</row>
    <row r="175" spans="1:16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</row>
    <row r="176" spans="1:16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</row>
    <row r="177" spans="1:16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</row>
    <row r="178" spans="1:16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</row>
    <row r="179" spans="1:16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</row>
    <row r="180" spans="1:16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</row>
    <row r="181" spans="1:16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</row>
    <row r="182" spans="1:16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</row>
    <row r="183" spans="1:16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</row>
    <row r="184" spans="1:16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</row>
    <row r="185" spans="1:16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</row>
    <row r="186" spans="1:16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</row>
    <row r="187" spans="1:16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</row>
    <row r="188" spans="1:16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</row>
    <row r="189" spans="1:16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</row>
    <row r="190" spans="1:16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</row>
    <row r="191" spans="1:16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</row>
    <row r="192" spans="1:16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</row>
    <row r="193" spans="1:16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</row>
    <row r="194" spans="1:16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</row>
    <row r="195" spans="1:16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</row>
    <row r="196" spans="1:16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</row>
    <row r="197" spans="1:16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</row>
    <row r="198" spans="1:16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</row>
    <row r="199" spans="1:16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</row>
    <row r="200" spans="1:16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</row>
    <row r="201" spans="1:16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</row>
    <row r="202" spans="1:16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</row>
    <row r="203" spans="1:16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</row>
    <row r="204" spans="1:16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</row>
    <row r="205" spans="1:16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</row>
    <row r="206" spans="1:16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</row>
    <row r="207" spans="1:16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</row>
    <row r="208" spans="1:16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</row>
    <row r="209" spans="1:16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</row>
    <row r="210" spans="1:16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</row>
    <row r="211" spans="1:16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</row>
    <row r="212" spans="1:16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</row>
    <row r="213" spans="1:16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</row>
    <row r="214" spans="1:16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</row>
    <row r="215" spans="1:16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</row>
    <row r="216" spans="1:16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</row>
    <row r="217" spans="1:16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</row>
    <row r="218" spans="1:16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</row>
    <row r="219" spans="1:16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</row>
    <row r="220" spans="1:16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</row>
    <row r="221" spans="1:16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</row>
    <row r="222" spans="1:16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</row>
    <row r="223" spans="1:16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</row>
    <row r="224" spans="1:16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</row>
    <row r="225" spans="1:16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</row>
    <row r="226" spans="1:16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</row>
    <row r="227" spans="1:16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</row>
    <row r="228" spans="1:16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</row>
    <row r="229" spans="1:16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</row>
    <row r="230" spans="1:16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</row>
    <row r="231" spans="1:16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</row>
    <row r="232" spans="1:16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</row>
    <row r="233" spans="1:16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</row>
    <row r="234" spans="1:16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</row>
    <row r="235" spans="1:16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</row>
    <row r="236" spans="1:16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</row>
    <row r="237" spans="1:16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</row>
    <row r="238" spans="1:16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</row>
    <row r="239" spans="1:16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</row>
    <row r="240" spans="1:16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</row>
    <row r="241" spans="1:16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</row>
    <row r="242" spans="1:16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</row>
    <row r="243" spans="1:16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</row>
    <row r="244" spans="1:16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</row>
    <row r="245" spans="1:16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</row>
    <row r="246" spans="1:16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</row>
    <row r="247" spans="1:16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</row>
    <row r="248" spans="1:16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</row>
    <row r="249" spans="1:16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</row>
    <row r="250" spans="1:16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</row>
    <row r="251" spans="1:16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</row>
    <row r="252" spans="1:16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</row>
    <row r="253" spans="1:16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</row>
    <row r="254" spans="1:16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</row>
    <row r="255" spans="1:16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</row>
    <row r="256" spans="1:16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</row>
    <row r="257" spans="1:16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</row>
    <row r="258" spans="1:16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</row>
    <row r="259" spans="1:16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</row>
    <row r="260" spans="1:16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</row>
    <row r="261" spans="1:16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</row>
    <row r="262" spans="1:16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</row>
    <row r="263" spans="1:16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</row>
    <row r="264" spans="1:16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</row>
    <row r="265" spans="1:16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</row>
    <row r="266" spans="1:16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</row>
    <row r="267" spans="1:16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</row>
    <row r="268" spans="1:16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</row>
    <row r="269" spans="1:16" x14ac:dyDescent="0.2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</row>
    <row r="270" spans="1:16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</row>
    <row r="271" spans="1:16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</row>
    <row r="272" spans="1:16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</row>
    <row r="273" spans="1:16" x14ac:dyDescent="0.2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</row>
    <row r="274" spans="1:16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</row>
    <row r="275" spans="1:16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</row>
    <row r="276" spans="1:16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</row>
    <row r="277" spans="1:16" x14ac:dyDescent="0.2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</row>
    <row r="278" spans="1:16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</row>
    <row r="279" spans="1:16" x14ac:dyDescent="0.2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</row>
    <row r="280" spans="1:16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</row>
    <row r="281" spans="1:16" x14ac:dyDescent="0.2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</row>
    <row r="282" spans="1:16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</row>
    <row r="283" spans="1:16" x14ac:dyDescent="0.2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</row>
    <row r="284" spans="1:16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</row>
    <row r="285" spans="1:16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</row>
    <row r="286" spans="1:16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</row>
    <row r="287" spans="1:16" x14ac:dyDescent="0.2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</row>
    <row r="288" spans="1:16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</row>
    <row r="289" spans="1:16" x14ac:dyDescent="0.2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</row>
    <row r="290" spans="1:16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</row>
    <row r="291" spans="1:16" x14ac:dyDescent="0.2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</row>
    <row r="292" spans="1:16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</row>
    <row r="293" spans="1:16" x14ac:dyDescent="0.2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</row>
    <row r="294" spans="1:16" x14ac:dyDescent="0.2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</row>
    <row r="295" spans="1:16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</row>
    <row r="296" spans="1:16" x14ac:dyDescent="0.2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</row>
    <row r="297" spans="1:16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</row>
    <row r="298" spans="1:16" x14ac:dyDescent="0.2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</row>
    <row r="299" spans="1:16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</row>
    <row r="300" spans="1:16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</row>
    <row r="301" spans="1:16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</row>
    <row r="302" spans="1:16" x14ac:dyDescent="0.2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</row>
    <row r="303" spans="1:16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</row>
    <row r="304" spans="1:16" x14ac:dyDescent="0.2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</row>
    <row r="305" spans="1:16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</row>
    <row r="306" spans="1:16" x14ac:dyDescent="0.2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</row>
    <row r="307" spans="1:16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</row>
    <row r="308" spans="1:16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</row>
    <row r="309" spans="1:16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</row>
    <row r="310" spans="1:16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</row>
    <row r="311" spans="1:16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</row>
    <row r="312" spans="1:16" x14ac:dyDescent="0.2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</row>
    <row r="313" spans="1:16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</row>
    <row r="314" spans="1:16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</row>
    <row r="315" spans="1:16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</row>
    <row r="316" spans="1:16" x14ac:dyDescent="0.2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</row>
    <row r="317" spans="1:16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</row>
    <row r="318" spans="1:16" x14ac:dyDescent="0.2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</row>
    <row r="319" spans="1:16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</row>
    <row r="320" spans="1:16" x14ac:dyDescent="0.2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</row>
    <row r="321" spans="1:16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</row>
    <row r="322" spans="1:16" x14ac:dyDescent="0.2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</row>
    <row r="323" spans="1:16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</row>
    <row r="324" spans="1:16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</row>
    <row r="325" spans="1:16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</row>
    <row r="326" spans="1:16" x14ac:dyDescent="0.2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</row>
    <row r="327" spans="1:16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</row>
    <row r="328" spans="1:16" x14ac:dyDescent="0.2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</row>
  </sheetData>
  <sheetProtection password="B65E" sheet="1" objects="1" scenarios="1"/>
  <mergeCells count="49">
    <mergeCell ref="B51:G51"/>
    <mergeCell ref="B52:G52"/>
    <mergeCell ref="B53:G53"/>
    <mergeCell ref="B54:G54"/>
    <mergeCell ref="C83:E83"/>
    <mergeCell ref="G61:H61"/>
    <mergeCell ref="C78:E78"/>
    <mergeCell ref="C79:E79"/>
    <mergeCell ref="C82:E82"/>
    <mergeCell ref="C80:E80"/>
    <mergeCell ref="C81:E81"/>
    <mergeCell ref="C73:E73"/>
    <mergeCell ref="C88:E88"/>
    <mergeCell ref="C85:E85"/>
    <mergeCell ref="B56:G56"/>
    <mergeCell ref="B58:G58"/>
    <mergeCell ref="C74:E74"/>
    <mergeCell ref="AU61:AV61"/>
    <mergeCell ref="AW61:AX61"/>
    <mergeCell ref="B57:G57"/>
    <mergeCell ref="B55:G55"/>
    <mergeCell ref="AI61:AJ61"/>
    <mergeCell ref="AK61:AL61"/>
    <mergeCell ref="AM61:AN61"/>
    <mergeCell ref="AO61:AP61"/>
    <mergeCell ref="AQ61:AR61"/>
    <mergeCell ref="Y61:Z61"/>
    <mergeCell ref="AA61:AB61"/>
    <mergeCell ref="AC61:AD61"/>
    <mergeCell ref="AE61:AF61"/>
    <mergeCell ref="AG61:AH61"/>
    <mergeCell ref="O61:P61"/>
    <mergeCell ref="AS61:AT61"/>
    <mergeCell ref="S61:T61"/>
    <mergeCell ref="U61:V61"/>
    <mergeCell ref="W61:X61"/>
    <mergeCell ref="C86:E86"/>
    <mergeCell ref="I61:J61"/>
    <mergeCell ref="K61:L61"/>
    <mergeCell ref="M61:N61"/>
    <mergeCell ref="C69:E69"/>
    <mergeCell ref="C70:E70"/>
    <mergeCell ref="C63:E63"/>
    <mergeCell ref="C64:E64"/>
    <mergeCell ref="C66:E66"/>
    <mergeCell ref="C67:E67"/>
    <mergeCell ref="C84:E84"/>
    <mergeCell ref="C72:E72"/>
    <mergeCell ref="Q61:R61"/>
  </mergeCells>
  <pageMargins left="0.7" right="0.7" top="0.78740157499999996" bottom="0.78740157499999996" header="0.3" footer="0.3"/>
  <pageSetup paperSize="9" scale="52" orientation="portrait" r:id="rId1"/>
  <colBreaks count="1" manualBreakCount="1">
    <brk id="18" max="81" man="1"/>
  </colBreaks>
  <ignoredErrors>
    <ignoredError sqref="H33:I33 K61 M61:AX61 I32 O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Krycí list</vt:lpstr>
      <vt:lpstr>Postup</vt:lpstr>
      <vt:lpstr>Nabídka</vt:lpstr>
      <vt:lpstr>Provozování</vt:lpstr>
      <vt:lpstr>Kalkulace a Porovnání</vt:lpstr>
      <vt:lpstr>Tisk</vt:lpstr>
      <vt:lpstr>Legenda</vt:lpstr>
      <vt:lpstr>Výpočty</vt:lpstr>
      <vt:lpstr>'Krycí list'!Oblast_tisku</vt:lpstr>
      <vt:lpstr>Nabídka!Oblast_tisku</vt:lpstr>
      <vt:lpstr>Postup!Oblast_tisku</vt:lpstr>
      <vt:lpstr>Tisk!Oblast_tisku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SFŽP</dc:creator>
  <cp:lastModifiedBy>Spilkyc</cp:lastModifiedBy>
  <cp:lastPrinted>2016-03-25T13:53:48Z</cp:lastPrinted>
  <dcterms:created xsi:type="dcterms:W3CDTF">2015-02-23T09:38:26Z</dcterms:created>
  <dcterms:modified xsi:type="dcterms:W3CDTF">2019-06-10T14:07:43Z</dcterms:modified>
</cp:coreProperties>
</file>